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BGS\2026 BGS\3 RSCP Rates\2 Compliance Filing\2 Received from EDCs\to post\"/>
    </mc:Choice>
  </mc:AlternateContent>
  <xr:revisionPtr revIDLastSave="0" documentId="13_ncr:1_{59BF2344-9B5D-48CE-B62B-FE1A7A162D31}" xr6:coauthVersionLast="47" xr6:coauthVersionMax="47" xr10:uidLastSave="{00000000-0000-0000-0000-000000000000}"/>
  <bookViews>
    <workbookView xWindow="-30828" yWindow="5928" windowWidth="30936" windowHeight="16776" xr2:uid="{D1F26FC7-3A4E-4347-90CD-BE10F061786E}"/>
  </bookViews>
  <sheets>
    <sheet name="Inputs" sheetId="1" r:id="rId1"/>
    <sheet name="Attach2 - BidFactors" sheetId="2" r:id="rId2"/>
    <sheet name="Attach3 - AuctionRateResult" sheetId="3" r:id="rId3"/>
    <sheet name="Attach 4 P1" sheetId="11" r:id="rId4"/>
    <sheet name="Attach 4 P2" sheetId="5" r:id="rId5"/>
    <sheet name="Attach 4 P3" sheetId="6" r:id="rId6"/>
    <sheet name="Attach 4 P4 " sheetId="7" r:id="rId7"/>
    <sheet name="Attach 4 P5" sheetId="8" r:id="rId8"/>
  </sheet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>#REF!</definedName>
    <definedName name="_1SUM_BANDS">#REF!</definedName>
    <definedName name="_xlnm._FilterDatabase" localSheetId="0" hidden="1">Inputs!$N$13:$W$141</definedName>
    <definedName name="ace_hs1" localSheetId="3">#REF!</definedName>
    <definedName name="ace_hs1">#REF!</definedName>
    <definedName name="ace_rhs1" localSheetId="3">#REF!</definedName>
    <definedName name="ace_rhs1">#REF!</definedName>
    <definedName name="ace_rlm1" localSheetId="3">#REF!</definedName>
    <definedName name="ace_rlm1">#REF!</definedName>
    <definedName name="ace_rs1" localSheetId="3">#REF!</definedName>
    <definedName name="ace_rs1">#REF!</definedName>
    <definedName name="bge_hs1" localSheetId="3">#REF!</definedName>
    <definedName name="bge_hs1">#REF!</definedName>
    <definedName name="bge_rhs1" localSheetId="3">#REF!</definedName>
    <definedName name="bge_rhs1">#REF!</definedName>
    <definedName name="bge_rlm1" localSheetId="3">#REF!</definedName>
    <definedName name="bge_rlm1">#REF!</definedName>
    <definedName name="bge_rs1" localSheetId="3">#REF!</definedName>
    <definedName name="bge_rs1">#REF!</definedName>
    <definedName name="Co_letter" localSheetId="3">#REF!</definedName>
    <definedName name="Co_letter" localSheetId="4">#REF!</definedName>
    <definedName name="Co_letter" localSheetId="5">#REF!</definedName>
    <definedName name="Co_letter" localSheetId="6">#REF!</definedName>
    <definedName name="Co_letter" localSheetId="7">#REF!</definedName>
    <definedName name="Co_letter">#REF!</definedName>
    <definedName name="Co_List" localSheetId="3">#REF!</definedName>
    <definedName name="Co_List" localSheetId="4">#REF!</definedName>
    <definedName name="Co_List" localSheetId="5">#REF!</definedName>
    <definedName name="Co_List" localSheetId="6">#REF!</definedName>
    <definedName name="Co_List" localSheetId="7">#REF!</definedName>
    <definedName name="Co_List">#REF!</definedName>
    <definedName name="Co_Listc" localSheetId="3">#REF!</definedName>
    <definedName name="Co_Listc" localSheetId="4">#REF!</definedName>
    <definedName name="Co_Listc" localSheetId="5">#REF!</definedName>
    <definedName name="Co_Listc" localSheetId="6">#REF!</definedName>
    <definedName name="Co_Listc" localSheetId="7">#REF!</definedName>
    <definedName name="Co_Listc">#REF!</definedName>
    <definedName name="Co_Name" localSheetId="3">#REF!</definedName>
    <definedName name="Co_Name" localSheetId="4">#REF!</definedName>
    <definedName name="Co_Name" localSheetId="5">#REF!</definedName>
    <definedName name="Co_Name" localSheetId="6">#REF!</definedName>
    <definedName name="Co_Name" localSheetId="7">#REF!</definedName>
    <definedName name="Co_Name">#REF!</definedName>
    <definedName name="Co_Picked" localSheetId="3">#REF!</definedName>
    <definedName name="Co_Picked" localSheetId="4">#REF!</definedName>
    <definedName name="Co_Picked" localSheetId="5">#REF!</definedName>
    <definedName name="Co_Picked" localSheetId="6">#REF!</definedName>
    <definedName name="Co_Picked" localSheetId="7">#REF!</definedName>
    <definedName name="Co_Picked">#REF!</definedName>
    <definedName name="cw_hs1" localSheetId="3">#REF!</definedName>
    <definedName name="cw_hs1">#REF!</definedName>
    <definedName name="cw_rhs1" localSheetId="3">#REF!</definedName>
    <definedName name="cw_rhs1">#REF!</definedName>
    <definedName name="cw_rlm1" localSheetId="3">#REF!</definedName>
    <definedName name="cw_rlm1">#REF!</definedName>
    <definedName name="cw_rs1" localSheetId="3">#REF!</definedName>
    <definedName name="cw_rs1">#REF!</definedName>
    <definedName name="dlm_hs1" localSheetId="3">#REF!</definedName>
    <definedName name="dlm_hs1">#REF!</definedName>
    <definedName name="dlm_rhs1" localSheetId="3">#REF!</definedName>
    <definedName name="dlm_rhs1">#REF!</definedName>
    <definedName name="dlm_rlm1" localSheetId="3">#REF!</definedName>
    <definedName name="dlm_rlm1">#REF!</definedName>
    <definedName name="dlm_rs1" localSheetId="3">#REF!</definedName>
    <definedName name="dlm_rs1">#REF!</definedName>
    <definedName name="duq_hs1" localSheetId="3">#REF!</definedName>
    <definedName name="duq_hs1">#REF!</definedName>
    <definedName name="duq_rhs1" localSheetId="3">#REF!</definedName>
    <definedName name="duq_rhs1">#REF!</definedName>
    <definedName name="duq_rlm1" localSheetId="3">#REF!</definedName>
    <definedName name="duq_rlm1">#REF!</definedName>
    <definedName name="duq_rs1" localSheetId="3">#REF!</definedName>
    <definedName name="duq_rs1">#REF!</definedName>
    <definedName name="Get_Co" localSheetId="3">#REF!</definedName>
    <definedName name="Get_Co" localSheetId="4">#REF!</definedName>
    <definedName name="Get_Co" localSheetId="5">#REF!</definedName>
    <definedName name="Get_Co" localSheetId="6">#REF!</definedName>
    <definedName name="Get_Co" localSheetId="7">#REF!</definedName>
    <definedName name="Get_Co">#REF!</definedName>
    <definedName name="Get_Mo" localSheetId="3">#REF!</definedName>
    <definedName name="Get_Mo" localSheetId="4">#REF!</definedName>
    <definedName name="Get_Mo" localSheetId="5">#REF!</definedName>
    <definedName name="Get_Mo" localSheetId="6">#REF!</definedName>
    <definedName name="Get_Mo" localSheetId="7">#REF!</definedName>
    <definedName name="Get_Mo">#REF!</definedName>
    <definedName name="Get_moc" localSheetId="3">#REF!</definedName>
    <definedName name="Get_moc" localSheetId="4">#REF!</definedName>
    <definedName name="Get_moc" localSheetId="5">#REF!</definedName>
    <definedName name="Get_moc" localSheetId="6">#REF!</definedName>
    <definedName name="Get_moc" localSheetId="7">#REF!</definedName>
    <definedName name="Get_moc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EXPENSE_CODE_" hidden="1">"CL06946"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44200.7174884259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o_List" localSheetId="3">#REF!</definedName>
    <definedName name="Mo_List" localSheetId="4">#REF!</definedName>
    <definedName name="Mo_List" localSheetId="5">#REF!</definedName>
    <definedName name="Mo_List" localSheetId="6">#REF!</definedName>
    <definedName name="Mo_List" localSheetId="7">#REF!</definedName>
    <definedName name="Mo_List">#REF!</definedName>
    <definedName name="Mo_Picked" localSheetId="3">#REF!</definedName>
    <definedName name="Mo_Picked" localSheetId="4">#REF!</definedName>
    <definedName name="Mo_Picked" localSheetId="5">#REF!</definedName>
    <definedName name="Mo_Picked" localSheetId="6">#REF!</definedName>
    <definedName name="Mo_Picked" localSheetId="7">#REF!</definedName>
    <definedName name="Mo_Picked">#REF!</definedName>
    <definedName name="pec_hs1" localSheetId="3">#REF!</definedName>
    <definedName name="pec_hs1">#REF!</definedName>
    <definedName name="pec_rhs1" localSheetId="3">#REF!</definedName>
    <definedName name="pec_rhs1">#REF!</definedName>
    <definedName name="pec_rlm1" localSheetId="3">#REF!</definedName>
    <definedName name="pec_rlm1">#REF!</definedName>
    <definedName name="pec_rs1" localSheetId="3">#REF!</definedName>
    <definedName name="pec_rs1">#REF!</definedName>
    <definedName name="pep_hs1" localSheetId="3">#REF!</definedName>
    <definedName name="pep_hs1">#REF!</definedName>
    <definedName name="pep_rhs1" localSheetId="3">#REF!</definedName>
    <definedName name="pep_rhs1">#REF!</definedName>
    <definedName name="pep_rlm1" localSheetId="3">#REF!</definedName>
    <definedName name="pep_rlm1">#REF!</definedName>
    <definedName name="pep_rs1" localSheetId="3">#REF!</definedName>
    <definedName name="pep_rs1">#REF!</definedName>
    <definedName name="ppl_hs1" localSheetId="3">#REF!</definedName>
    <definedName name="ppl_hs1">#REF!</definedName>
    <definedName name="ppl_rhs1" localSheetId="3">#REF!</definedName>
    <definedName name="ppl_rhs1">#REF!</definedName>
    <definedName name="ppl_rlm1" localSheetId="3">#REF!</definedName>
    <definedName name="ppl_rlm1">#REF!</definedName>
    <definedName name="ppl_rs1" localSheetId="3">#REF!</definedName>
    <definedName name="ppl_rs1">#REF!</definedName>
    <definedName name="_xlnm.Print_Area" localSheetId="3">'Attach 4 P1'!$A$1:$F$22</definedName>
    <definedName name="_xlnm.Print_Area" localSheetId="4">'Attach 4 P2'!$A$1:$E$22</definedName>
    <definedName name="_xlnm.Print_Area" localSheetId="5">'Attach 4 P3'!$A$1:$J$23</definedName>
    <definedName name="_xlnm.Print_Area" localSheetId="6">'Attach 4 P4 '!$A$1:$H$35</definedName>
    <definedName name="_xlnm.Print_Area" localSheetId="7">'Attach 4 P5'!$A$1:$H$34</definedName>
    <definedName name="_xlnm.Print_Area" localSheetId="1">'Attach2 - BidFactors'!$A$1:$L$360</definedName>
    <definedName name="_xlnm.Print_Area" localSheetId="2">'Attach3 - AuctionRateResult'!$A$1:$L$213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_xlnm.Print_Titles" localSheetId="6">'Attach 4 P4 '!$2:$4</definedName>
    <definedName name="_xlnm.Print_Titles" localSheetId="7">'Attach 4 P5'!$2:$4</definedName>
    <definedName name="_xlnm.Print_Titles" localSheetId="2">'Attach3 - AuctionRateResult'!$1:$4</definedName>
    <definedName name="_xlnm.Print_Titles">#N/A</definedName>
    <definedName name="Rpt_Mo" localSheetId="3">#REF!</definedName>
    <definedName name="Rpt_Mo" localSheetId="4">#REF!</definedName>
    <definedName name="Rpt_Mo" localSheetId="5">#REF!</definedName>
    <definedName name="Rpt_Mo" localSheetId="6">#REF!</definedName>
    <definedName name="Rpt_Mo" localSheetId="7">#REF!</definedName>
    <definedName name="Rpt_Mo">#REF!</definedName>
    <definedName name="SUM" localSheetId="3">#REF!</definedName>
    <definedName name="SUM" localSheetId="4">#REF!</definedName>
    <definedName name="SUM" localSheetId="5">#REF!</definedName>
    <definedName name="SUM" localSheetId="6">#REF!</definedName>
    <definedName name="SUM" localSheetId="7">#REF!</definedName>
    <definedName name="trl_hs1" localSheetId="3">#REF!</definedName>
    <definedName name="trl_hs1">#REF!</definedName>
    <definedName name="trl_rhs1" localSheetId="3">#REF!</definedName>
    <definedName name="trl_rhs1">#REF!</definedName>
    <definedName name="trl_rlm1" localSheetId="3">#REF!</definedName>
    <definedName name="trl_rlm1">#REF!</definedName>
    <definedName name="trl_rs1" localSheetId="3">#REF!</definedName>
    <definedName name="trl_rs1">#REF!</definedName>
    <definedName name="Year1" localSheetId="3">#REF!</definedName>
    <definedName name="Year1" localSheetId="4">#REF!</definedName>
    <definedName name="Year1" localSheetId="5">#REF!</definedName>
    <definedName name="Year1" localSheetId="6">#REF!</definedName>
    <definedName name="Year1" localSheetId="7">#REF!</definedName>
    <definedName name="Year1">#REF!</definedName>
    <definedName name="Z_279F1FAD_C428_4166_9FD0_7026629BA599_.wvu.PrintArea" localSheetId="3" hidden="1">'Attach 4 P1'!$A$1:$G$21</definedName>
    <definedName name="Z_279F1FAD_C428_4166_9FD0_7026629BA599_.wvu.PrintArea" localSheetId="4" hidden="1">'Attach 4 P2'!$A$1:$E$21</definedName>
    <definedName name="Z_279F1FAD_C428_4166_9FD0_7026629BA599_.wvu.PrintArea" localSheetId="5" hidden="1">'Attach 4 P3'!$A$1:$J$21</definedName>
    <definedName name="Z_279F1FAD_C428_4166_9FD0_7026629BA599_.wvu.PrintArea" localSheetId="6" hidden="1">'Attach 4 P4 '!$A$1:$J$33</definedName>
    <definedName name="Z_279F1FAD_C428_4166_9FD0_7026629BA599_.wvu.PrintArea" localSheetId="7" hidden="1">'Attach 4 P5'!$A$1:$J$33</definedName>
    <definedName name="Z_279F1FAD_C428_4166_9FD0_7026629BA599_.wvu.PrintTitles" localSheetId="6" hidden="1">'Attach 4 P4 '!$2:$4</definedName>
    <definedName name="Z_279F1FAD_C428_4166_9FD0_7026629BA599_.wvu.PrintTitles" localSheetId="7" hidden="1">'Attach 4 P5'!$2:$4</definedName>
    <definedName name="Z_782F5CFE_DE26_4D5A_B82E_30A424B0A39B_.wvu.PrintArea" localSheetId="1" hidden="1">'Attach2 - BidFactors'!$A$1:$L$360</definedName>
    <definedName name="Z_782F5CFE_DE26_4D5A_B82E_30A424B0A39B_.wvu.PrintArea" localSheetId="2" hidden="1">'Attach3 - AuctionRateResult'!$A$1:$L$213</definedName>
    <definedName name="Z_782F5CFE_DE26_4D5A_B82E_30A424B0A39B_.wvu.PrintTitles" localSheetId="2" hidden="1">'Attach3 - AuctionRateResult'!$1:$4</definedName>
    <definedName name="Z_782F5CFE_DE26_4D5A_B82E_30A424B0A39B_.wvu.Rows" localSheetId="2" hidden="1">'Attach3 - AuctionRateResult'!$214:$275</definedName>
    <definedName name="Z_782F5CFE_DE26_4D5A_B82E_30A424B0A39B_.wvu.Rows" localSheetId="0" hidden="1">Inputs!$310:$386</definedName>
    <definedName name="Z_88B031DE_0423_45A5_B384_E560A52FDD07_.wvu.PrintArea" localSheetId="1" hidden="1">'Attach2 - BidFactors'!$A$1:$L$360</definedName>
    <definedName name="Z_88B031DE_0423_45A5_B384_E560A52FDD07_.wvu.PrintArea" localSheetId="2" hidden="1">'Attach3 - AuctionRateResult'!$A$1:$L$213</definedName>
    <definedName name="Z_88B031DE_0423_45A5_B384_E560A52FDD07_.wvu.PrintTitles" localSheetId="2" hidden="1">'Attach3 - AuctionRateResult'!$1:$4</definedName>
    <definedName name="Z_88B031DE_0423_45A5_B384_E560A52FDD07_.wvu.Rows" localSheetId="2" hidden="1">'Attach3 - AuctionRateResult'!$214:$275</definedName>
    <definedName name="Z_88B031DE_0423_45A5_B384_E560A52FDD07_.wvu.Rows" localSheetId="0" hidden="1">Inputs!$310:$386</definedName>
    <definedName name="Z_9BF7FAF1_D686_4A6B_A2BE_0DAD43841920_.wvu.PrintArea" localSheetId="1" hidden="1">'Attach2 - BidFactors'!$A$1:$L$360</definedName>
    <definedName name="Z_9BF7FAF1_D686_4A6B_A2BE_0DAD43841920_.wvu.PrintArea" localSheetId="2" hidden="1">'Attach3 - AuctionRateResult'!$A$1:$L$213</definedName>
    <definedName name="Z_9BF7FAF1_D686_4A6B_A2BE_0DAD43841920_.wvu.PrintTitles" localSheetId="2" hidden="1">'Attach3 - AuctionRateResult'!$1:$4</definedName>
    <definedName name="Z_9BF7FAF1_D686_4A6B_A2BE_0DAD43841920_.wvu.Rows" localSheetId="2" hidden="1">'Attach3 - AuctionRateResult'!$214:$275</definedName>
    <definedName name="Z_9BF7FAF1_D686_4A6B_A2BE_0DAD43841920_.wvu.Rows" localSheetId="0" hidden="1">Inputs!$310:$386</definedName>
    <definedName name="Z_D5524E47_947F_4D9F_AE8B_3F0380261994_.wvu.PrintArea" localSheetId="1" hidden="1">'Attach2 - BidFactors'!$A$1:$L$360</definedName>
    <definedName name="Z_D5524E47_947F_4D9F_AE8B_3F0380261994_.wvu.PrintArea" localSheetId="2" hidden="1">'Attach3 - AuctionRateResult'!$A$1:$L$213</definedName>
    <definedName name="Z_D5524E47_947F_4D9F_AE8B_3F0380261994_.wvu.PrintTitles" localSheetId="2" hidden="1">'Attach3 - AuctionRateResult'!$1:$4</definedName>
    <definedName name="Z_D5524E47_947F_4D9F_AE8B_3F0380261994_.wvu.Rows" localSheetId="2" hidden="1">'Attach3 - AuctionRateResult'!$214:$275</definedName>
    <definedName name="Z_D5524E47_947F_4D9F_AE8B_3F0380261994_.wvu.Rows" localSheetId="0" hidden="1">Inputs!$310:$386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" l="1"/>
  <c r="C5" i="6"/>
  <c r="C4" i="6"/>
  <c r="D5" i="5"/>
  <c r="D18" i="5"/>
  <c r="C18" i="5"/>
  <c r="Q18" i="11"/>
  <c r="D14" i="5"/>
  <c r="D19" i="5" s="1"/>
  <c r="C14" i="5"/>
  <c r="C19" i="5" s="1"/>
  <c r="C7" i="5"/>
  <c r="D4" i="5"/>
  <c r="D7" i="5" s="1"/>
  <c r="C18" i="11"/>
  <c r="D18" i="11"/>
  <c r="C13" i="11"/>
  <c r="Q14" i="11"/>
  <c r="D14" i="11"/>
  <c r="D19" i="11" s="1"/>
  <c r="C14" i="11"/>
  <c r="C7" i="11"/>
  <c r="D4" i="11"/>
  <c r="D7" i="11" s="1"/>
  <c r="Q19" i="11" l="1"/>
  <c r="C19" i="11"/>
  <c r="Q4" i="11"/>
  <c r="Q7" i="11" s="1"/>
  <c r="E13" i="8"/>
  <c r="C8" i="7"/>
  <c r="C14" i="6"/>
  <c r="C7" i="6"/>
  <c r="J160" i="3"/>
  <c r="I160" i="3"/>
  <c r="H160" i="3"/>
  <c r="G160" i="3"/>
  <c r="F160" i="3"/>
  <c r="E160" i="3"/>
  <c r="D160" i="3"/>
  <c r="C160" i="3"/>
  <c r="E47" i="3"/>
  <c r="E88" i="3" s="1"/>
  <c r="D18" i="3"/>
  <c r="C18" i="3"/>
  <c r="D17" i="3"/>
  <c r="C17" i="3"/>
  <c r="E14" i="3"/>
  <c r="D12" i="7" s="1"/>
  <c r="D14" i="3"/>
  <c r="C12" i="7" s="1"/>
  <c r="C14" i="3"/>
  <c r="D8" i="3"/>
  <c r="C8" i="3"/>
  <c r="E6" i="3"/>
  <c r="E7" i="3" s="1"/>
  <c r="D6" i="3"/>
  <c r="D7" i="3" s="1"/>
  <c r="C6" i="3"/>
  <c r="C7" i="3" s="1"/>
  <c r="B1" i="3"/>
  <c r="C294" i="2"/>
  <c r="C291" i="2"/>
  <c r="C290" i="2"/>
  <c r="C289" i="2"/>
  <c r="E271" i="2"/>
  <c r="F271" i="2" s="1"/>
  <c r="F69" i="3" s="1"/>
  <c r="C271" i="2"/>
  <c r="C69" i="3" s="1"/>
  <c r="I69" i="3" s="1"/>
  <c r="J249" i="2"/>
  <c r="J47" i="3" s="1"/>
  <c r="J88" i="3" s="1"/>
  <c r="I249" i="2"/>
  <c r="I47" i="3" s="1"/>
  <c r="I88" i="3" s="1"/>
  <c r="H249" i="2"/>
  <c r="H47" i="3" s="1"/>
  <c r="H88" i="3" s="1"/>
  <c r="G249" i="2"/>
  <c r="G47" i="3" s="1"/>
  <c r="G88" i="3" s="1"/>
  <c r="F249" i="2"/>
  <c r="F47" i="3" s="1"/>
  <c r="F88" i="3" s="1"/>
  <c r="E249" i="2"/>
  <c r="D249" i="2"/>
  <c r="D47" i="3" s="1"/>
  <c r="D88" i="3" s="1"/>
  <c r="C249" i="2"/>
  <c r="C47" i="3" s="1"/>
  <c r="C88" i="3" s="1"/>
  <c r="J223" i="2"/>
  <c r="J279" i="2" s="1"/>
  <c r="J76" i="3" s="1"/>
  <c r="J113" i="3" s="1"/>
  <c r="J185" i="3" s="1"/>
  <c r="I223" i="2"/>
  <c r="I279" i="2" s="1"/>
  <c r="I76" i="3" s="1"/>
  <c r="I113" i="3" s="1"/>
  <c r="I185" i="3" s="1"/>
  <c r="J215" i="2"/>
  <c r="D215" i="2"/>
  <c r="C215" i="2"/>
  <c r="I215" i="2" s="1"/>
  <c r="J198" i="2"/>
  <c r="I198" i="2"/>
  <c r="H198" i="2"/>
  <c r="G198" i="2"/>
  <c r="F198" i="2"/>
  <c r="E198" i="2"/>
  <c r="D198" i="2"/>
  <c r="C198" i="2"/>
  <c r="J182" i="2"/>
  <c r="I182" i="2"/>
  <c r="H182" i="2"/>
  <c r="G182" i="2"/>
  <c r="F182" i="2"/>
  <c r="E182" i="2"/>
  <c r="D182" i="2"/>
  <c r="C182" i="2"/>
  <c r="R173" i="2"/>
  <c r="Q173" i="2"/>
  <c r="C169" i="2" s="1"/>
  <c r="C170" i="2" s="1"/>
  <c r="D172" i="2"/>
  <c r="C172" i="2"/>
  <c r="D169" i="2"/>
  <c r="D170" i="2" s="1"/>
  <c r="D167" i="2"/>
  <c r="C167" i="2"/>
  <c r="D164" i="2"/>
  <c r="F164" i="2" s="1"/>
  <c r="H160" i="2"/>
  <c r="E155" i="2"/>
  <c r="AM152" i="2"/>
  <c r="AL152" i="2"/>
  <c r="K155" i="2" s="1"/>
  <c r="AK152" i="2"/>
  <c r="J155" i="2" s="1"/>
  <c r="AM151" i="2"/>
  <c r="AL151" i="2"/>
  <c r="AK151" i="2"/>
  <c r="AJ151" i="2"/>
  <c r="AI151" i="2"/>
  <c r="AD151" i="2"/>
  <c r="L150" i="2"/>
  <c r="K150" i="2"/>
  <c r="J150" i="2"/>
  <c r="I150" i="2"/>
  <c r="H150" i="2"/>
  <c r="G150" i="2"/>
  <c r="F150" i="2"/>
  <c r="E150" i="2"/>
  <c r="D150" i="2"/>
  <c r="C150" i="2"/>
  <c r="B149" i="2"/>
  <c r="AC134" i="2"/>
  <c r="Z134" i="2"/>
  <c r="W134" i="2"/>
  <c r="T134" i="2"/>
  <c r="Q134" i="2"/>
  <c r="L134" i="2"/>
  <c r="K134" i="2"/>
  <c r="J134" i="2"/>
  <c r="I134" i="2"/>
  <c r="H134" i="2"/>
  <c r="G134" i="2"/>
  <c r="F134" i="2"/>
  <c r="E134" i="2"/>
  <c r="D134" i="2"/>
  <c r="C134" i="2"/>
  <c r="L116" i="2"/>
  <c r="K116" i="2"/>
  <c r="J116" i="2"/>
  <c r="I116" i="2"/>
  <c r="H116" i="2"/>
  <c r="G116" i="2"/>
  <c r="F116" i="2"/>
  <c r="E116" i="2"/>
  <c r="D116" i="2"/>
  <c r="C116" i="2"/>
  <c r="L98" i="2"/>
  <c r="K98" i="2"/>
  <c r="J98" i="2"/>
  <c r="I98" i="2"/>
  <c r="H98" i="2"/>
  <c r="G98" i="2"/>
  <c r="F98" i="2"/>
  <c r="E98" i="2"/>
  <c r="D98" i="2"/>
  <c r="C98" i="2"/>
  <c r="C91" i="2"/>
  <c r="C90" i="2"/>
  <c r="C89" i="2"/>
  <c r="Q80" i="2"/>
  <c r="Q79" i="2"/>
  <c r="Q78" i="2"/>
  <c r="L77" i="2"/>
  <c r="K77" i="2"/>
  <c r="J77" i="2"/>
  <c r="I77" i="2"/>
  <c r="H77" i="2"/>
  <c r="G77" i="2"/>
  <c r="F77" i="2"/>
  <c r="E77" i="2"/>
  <c r="D77" i="2"/>
  <c r="C77" i="2"/>
  <c r="C74" i="2"/>
  <c r="C70" i="2"/>
  <c r="C69" i="2"/>
  <c r="C67" i="2"/>
  <c r="C66" i="2"/>
  <c r="C64" i="2"/>
  <c r="I63" i="2"/>
  <c r="I73" i="2" s="1"/>
  <c r="H63" i="2"/>
  <c r="H67" i="2" s="1"/>
  <c r="C63" i="2"/>
  <c r="J56" i="2"/>
  <c r="G56" i="2"/>
  <c r="F56" i="2"/>
  <c r="E56" i="2"/>
  <c r="D56" i="2"/>
  <c r="C56" i="2"/>
  <c r="F55" i="2"/>
  <c r="E55" i="2"/>
  <c r="K54" i="2"/>
  <c r="J54" i="2"/>
  <c r="G54" i="2"/>
  <c r="D54" i="2"/>
  <c r="C54" i="2"/>
  <c r="H53" i="2"/>
  <c r="G53" i="2"/>
  <c r="G52" i="2"/>
  <c r="F52" i="2"/>
  <c r="E52" i="2"/>
  <c r="D52" i="2"/>
  <c r="C52" i="2"/>
  <c r="AB51" i="2"/>
  <c r="J50" i="2"/>
  <c r="G50" i="2"/>
  <c r="F50" i="2"/>
  <c r="E50" i="2"/>
  <c r="D50" i="2"/>
  <c r="C50" i="2"/>
  <c r="AB49" i="2"/>
  <c r="F49" i="2"/>
  <c r="E49" i="2"/>
  <c r="D49" i="2"/>
  <c r="C49" i="2"/>
  <c r="AB48" i="2"/>
  <c r="K48" i="2"/>
  <c r="G48" i="2"/>
  <c r="F48" i="2"/>
  <c r="E48" i="2"/>
  <c r="Q45" i="2" s="1"/>
  <c r="D48" i="2"/>
  <c r="H47" i="2"/>
  <c r="D47" i="2"/>
  <c r="C47" i="2"/>
  <c r="AB46" i="2"/>
  <c r="K46" i="2"/>
  <c r="G46" i="2"/>
  <c r="F46" i="2"/>
  <c r="E46" i="2"/>
  <c r="AE45" i="2"/>
  <c r="AF45" i="2" s="1"/>
  <c r="AD45" i="2"/>
  <c r="M45" i="2" s="1"/>
  <c r="D45" i="2"/>
  <c r="C45" i="2"/>
  <c r="X43" i="2"/>
  <c r="W43" i="2"/>
  <c r="V43" i="2"/>
  <c r="U43" i="2"/>
  <c r="T43" i="2"/>
  <c r="S43" i="2"/>
  <c r="R43" i="2"/>
  <c r="Q43" i="2"/>
  <c r="P43" i="2"/>
  <c r="O43" i="2"/>
  <c r="L43" i="2"/>
  <c r="K43" i="2"/>
  <c r="J43" i="2"/>
  <c r="I43" i="2"/>
  <c r="H43" i="2"/>
  <c r="G43" i="2"/>
  <c r="F43" i="2"/>
  <c r="E43" i="2"/>
  <c r="D43" i="2"/>
  <c r="C43" i="2"/>
  <c r="L38" i="2"/>
  <c r="X38" i="2" s="1"/>
  <c r="E38" i="2"/>
  <c r="Q38" i="2" s="1"/>
  <c r="L36" i="2"/>
  <c r="X36" i="2" s="1"/>
  <c r="E36" i="2"/>
  <c r="L35" i="2"/>
  <c r="X35" i="2" s="1"/>
  <c r="Q32" i="2"/>
  <c r="Q31" i="2"/>
  <c r="Q30" i="2"/>
  <c r="L30" i="2"/>
  <c r="X30" i="2" s="1"/>
  <c r="L29" i="2"/>
  <c r="X29" i="2" s="1"/>
  <c r="E29" i="2"/>
  <c r="Q29" i="2" s="1"/>
  <c r="E27" i="2"/>
  <c r="Q27" i="2" s="1"/>
  <c r="X25" i="2"/>
  <c r="W25" i="2"/>
  <c r="V25" i="2"/>
  <c r="U25" i="2"/>
  <c r="T25" i="2"/>
  <c r="S25" i="2"/>
  <c r="R25" i="2"/>
  <c r="Q25" i="2"/>
  <c r="P25" i="2"/>
  <c r="O25" i="2"/>
  <c r="L25" i="2"/>
  <c r="K25" i="2"/>
  <c r="J25" i="2"/>
  <c r="I25" i="2"/>
  <c r="H25" i="2"/>
  <c r="G25" i="2"/>
  <c r="F25" i="2"/>
  <c r="E25" i="2"/>
  <c r="D25" i="2"/>
  <c r="C25" i="2"/>
  <c r="L20" i="2"/>
  <c r="X20" i="2" s="1"/>
  <c r="K20" i="2"/>
  <c r="W20" i="2" s="1"/>
  <c r="J20" i="2"/>
  <c r="V20" i="2" s="1"/>
  <c r="I20" i="2"/>
  <c r="U20" i="2" s="1"/>
  <c r="H20" i="2"/>
  <c r="T20" i="2" s="1"/>
  <c r="L19" i="2"/>
  <c r="X19" i="2" s="1"/>
  <c r="K19" i="2"/>
  <c r="W19" i="2" s="1"/>
  <c r="J19" i="2"/>
  <c r="V19" i="2" s="1"/>
  <c r="I19" i="2"/>
  <c r="U19" i="2" s="1"/>
  <c r="H19" i="2"/>
  <c r="T19" i="2" s="1"/>
  <c r="F19" i="2"/>
  <c r="R19" i="2" s="1"/>
  <c r="E19" i="2"/>
  <c r="Q19" i="2" s="1"/>
  <c r="D19" i="2"/>
  <c r="P19" i="2" s="1"/>
  <c r="C19" i="2"/>
  <c r="O19" i="2" s="1"/>
  <c r="L18" i="2"/>
  <c r="X18" i="2" s="1"/>
  <c r="K18" i="2"/>
  <c r="W18" i="2" s="1"/>
  <c r="J18" i="2"/>
  <c r="V18" i="2" s="1"/>
  <c r="I18" i="2"/>
  <c r="U18" i="2" s="1"/>
  <c r="H18" i="2"/>
  <c r="T18" i="2" s="1"/>
  <c r="C18" i="2"/>
  <c r="J17" i="2"/>
  <c r="V17" i="2" s="1"/>
  <c r="I17" i="2"/>
  <c r="U17" i="2" s="1"/>
  <c r="H17" i="2"/>
  <c r="T17" i="2" s="1"/>
  <c r="G17" i="2"/>
  <c r="S17" i="2" s="1"/>
  <c r="F17" i="2"/>
  <c r="R17" i="2" s="1"/>
  <c r="E17" i="2"/>
  <c r="Q17" i="2" s="1"/>
  <c r="D17" i="2"/>
  <c r="P17" i="2" s="1"/>
  <c r="C17" i="2"/>
  <c r="O17" i="2" s="1"/>
  <c r="L16" i="2"/>
  <c r="X16" i="2" s="1"/>
  <c r="K16" i="2"/>
  <c r="W16" i="2" s="1"/>
  <c r="Q15" i="2"/>
  <c r="L15" i="2"/>
  <c r="X15" i="2" s="1"/>
  <c r="K15" i="2"/>
  <c r="W15" i="2" s="1"/>
  <c r="J15" i="2"/>
  <c r="V15" i="2" s="1"/>
  <c r="I15" i="2"/>
  <c r="U15" i="2" s="1"/>
  <c r="D15" i="2"/>
  <c r="P15" i="2" s="1"/>
  <c r="C15" i="2"/>
  <c r="O15" i="2" s="1"/>
  <c r="L14" i="2"/>
  <c r="K14" i="2"/>
  <c r="J14" i="2"/>
  <c r="I14" i="2"/>
  <c r="U14" i="2" s="1"/>
  <c r="H14" i="2"/>
  <c r="T14" i="2" s="1"/>
  <c r="D14" i="2"/>
  <c r="C14" i="2"/>
  <c r="L13" i="2"/>
  <c r="X13" i="2" s="1"/>
  <c r="K13" i="2"/>
  <c r="W13" i="2" s="1"/>
  <c r="J13" i="2"/>
  <c r="V13" i="2" s="1"/>
  <c r="I13" i="2"/>
  <c r="U13" i="2" s="1"/>
  <c r="H13" i="2"/>
  <c r="T13" i="2" s="1"/>
  <c r="D13" i="2"/>
  <c r="P13" i="2" s="1"/>
  <c r="C13" i="2"/>
  <c r="O13" i="2" s="1"/>
  <c r="L12" i="2"/>
  <c r="X12" i="2" s="1"/>
  <c r="K12" i="2"/>
  <c r="W12" i="2" s="1"/>
  <c r="J12" i="2"/>
  <c r="V12" i="2" s="1"/>
  <c r="I12" i="2"/>
  <c r="U12" i="2" s="1"/>
  <c r="H12" i="2"/>
  <c r="T12" i="2" s="1"/>
  <c r="D12" i="2"/>
  <c r="P12" i="2" s="1"/>
  <c r="C12" i="2"/>
  <c r="O12" i="2" s="1"/>
  <c r="V11" i="2"/>
  <c r="L11" i="2"/>
  <c r="X11" i="2" s="1"/>
  <c r="K11" i="2"/>
  <c r="W11" i="2" s="1"/>
  <c r="J11" i="2"/>
  <c r="I11" i="2"/>
  <c r="U11" i="2" s="1"/>
  <c r="H11" i="2"/>
  <c r="T11" i="2" s="1"/>
  <c r="D11" i="2"/>
  <c r="P11" i="2" s="1"/>
  <c r="C11" i="2"/>
  <c r="O11" i="2" s="1"/>
  <c r="L10" i="2"/>
  <c r="X10" i="2" s="1"/>
  <c r="K10" i="2"/>
  <c r="W10" i="2" s="1"/>
  <c r="W9" i="2"/>
  <c r="V9" i="2"/>
  <c r="U9" i="2"/>
  <c r="L9" i="2"/>
  <c r="X9" i="2" s="1"/>
  <c r="K9" i="2"/>
  <c r="J9" i="2"/>
  <c r="I9" i="2"/>
  <c r="H9" i="2"/>
  <c r="T9" i="2" s="1"/>
  <c r="G9" i="2"/>
  <c r="D9" i="2"/>
  <c r="P9" i="2" s="1"/>
  <c r="C9" i="2"/>
  <c r="O9" i="2" s="1"/>
  <c r="X7" i="2"/>
  <c r="W7" i="2"/>
  <c r="V7" i="2"/>
  <c r="U7" i="2"/>
  <c r="T7" i="2"/>
  <c r="S7" i="2"/>
  <c r="R7" i="2"/>
  <c r="Q7" i="2"/>
  <c r="P7" i="2"/>
  <c r="O7" i="2"/>
  <c r="O139" i="1"/>
  <c r="N139" i="1"/>
  <c r="D176" i="2"/>
  <c r="D175" i="2"/>
  <c r="D165" i="2"/>
  <c r="F165" i="2" s="1"/>
  <c r="C287" i="2" s="1"/>
  <c r="AD155" i="2"/>
  <c r="B105" i="1"/>
  <c r="X155" i="2" s="1"/>
  <c r="AD154" i="2"/>
  <c r="AJ152" i="2"/>
  <c r="I155" i="2" s="1"/>
  <c r="AI152" i="2"/>
  <c r="H155" i="2" s="1"/>
  <c r="AH152" i="2"/>
  <c r="G155" i="2" s="1"/>
  <c r="AG152" i="2"/>
  <c r="F155" i="2" s="1"/>
  <c r="AF152" i="2"/>
  <c r="AE152" i="2"/>
  <c r="D155" i="2" s="1"/>
  <c r="AH151" i="2"/>
  <c r="AF151" i="2"/>
  <c r="AE151" i="2"/>
  <c r="C73" i="2"/>
  <c r="C72" i="2"/>
  <c r="C71" i="2"/>
  <c r="I68" i="2"/>
  <c r="I71" i="2" s="1"/>
  <c r="H68" i="2"/>
  <c r="C68" i="2"/>
  <c r="C65" i="2"/>
  <c r="D63" i="2"/>
  <c r="D68" i="2"/>
  <c r="D69" i="2" s="1"/>
  <c r="AB56" i="2"/>
  <c r="K56" i="2"/>
  <c r="I56" i="2"/>
  <c r="H56" i="2"/>
  <c r="AB55" i="2"/>
  <c r="K55" i="2"/>
  <c r="J55" i="2"/>
  <c r="I55" i="2"/>
  <c r="H55" i="2"/>
  <c r="G55" i="2"/>
  <c r="D55" i="2"/>
  <c r="C55" i="2"/>
  <c r="AB54" i="2"/>
  <c r="I54" i="2"/>
  <c r="H54" i="2"/>
  <c r="F54" i="2"/>
  <c r="E54" i="2"/>
  <c r="AB53" i="2"/>
  <c r="K53" i="2"/>
  <c r="J53" i="2"/>
  <c r="I53" i="2"/>
  <c r="F53" i="2"/>
  <c r="E53" i="2"/>
  <c r="D53" i="2"/>
  <c r="C53" i="2"/>
  <c r="AB52" i="2"/>
  <c r="K52" i="2"/>
  <c r="J52" i="2"/>
  <c r="I52" i="2"/>
  <c r="H52" i="2"/>
  <c r="K51" i="2"/>
  <c r="J51" i="2"/>
  <c r="I51" i="2"/>
  <c r="H51" i="2"/>
  <c r="G51" i="2"/>
  <c r="F51" i="2"/>
  <c r="E51" i="2"/>
  <c r="D51" i="2"/>
  <c r="C51" i="2"/>
  <c r="AB50" i="2"/>
  <c r="K50" i="2"/>
  <c r="I50" i="2"/>
  <c r="H50" i="2"/>
  <c r="K49" i="2"/>
  <c r="J49" i="2"/>
  <c r="I49" i="2"/>
  <c r="H49" i="2"/>
  <c r="G49" i="2"/>
  <c r="J48" i="2"/>
  <c r="I48" i="2"/>
  <c r="H48" i="2"/>
  <c r="C48" i="2"/>
  <c r="AB47" i="2"/>
  <c r="L47" i="2" s="1"/>
  <c r="K47" i="2"/>
  <c r="J47" i="2"/>
  <c r="I47" i="2"/>
  <c r="G47" i="2"/>
  <c r="F47" i="2"/>
  <c r="E47" i="2"/>
  <c r="J46" i="2"/>
  <c r="I46" i="2"/>
  <c r="H46" i="2"/>
  <c r="D46" i="2"/>
  <c r="C46" i="2"/>
  <c r="AB45" i="2"/>
  <c r="K45" i="2"/>
  <c r="F45" i="2"/>
  <c r="E45" i="2"/>
  <c r="B47" i="1"/>
  <c r="B42" i="2" s="1"/>
  <c r="L37" i="2"/>
  <c r="X37" i="2" s="1"/>
  <c r="E37" i="2"/>
  <c r="Q37" i="2" s="1"/>
  <c r="E35" i="2"/>
  <c r="Q35" i="2" s="1"/>
  <c r="L34" i="2"/>
  <c r="X34" i="2" s="1"/>
  <c r="E34" i="2"/>
  <c r="Q34" i="2" s="1"/>
  <c r="L33" i="2"/>
  <c r="X33" i="2" s="1"/>
  <c r="E33" i="2"/>
  <c r="Q33" i="2" s="1"/>
  <c r="L32" i="2"/>
  <c r="E32" i="2"/>
  <c r="L31" i="2"/>
  <c r="X31" i="2" s="1"/>
  <c r="E31" i="2"/>
  <c r="E30" i="2"/>
  <c r="L28" i="2"/>
  <c r="X28" i="2" s="1"/>
  <c r="E28" i="2"/>
  <c r="Q28" i="2" s="1"/>
  <c r="L27" i="2"/>
  <c r="E28" i="1"/>
  <c r="E23" i="2" s="1"/>
  <c r="G20" i="2"/>
  <c r="S20" i="2" s="1"/>
  <c r="F20" i="2"/>
  <c r="R20" i="2" s="1"/>
  <c r="E20" i="2"/>
  <c r="Q20" i="2" s="1"/>
  <c r="D20" i="2"/>
  <c r="P20" i="2" s="1"/>
  <c r="C20" i="2"/>
  <c r="O20" i="2" s="1"/>
  <c r="G19" i="2"/>
  <c r="S19" i="2" s="1"/>
  <c r="G18" i="2"/>
  <c r="S18" i="2" s="1"/>
  <c r="F18" i="2"/>
  <c r="R18" i="2" s="1"/>
  <c r="E18" i="2"/>
  <c r="Q18" i="2" s="1"/>
  <c r="D18" i="2"/>
  <c r="L17" i="2"/>
  <c r="X17" i="2" s="1"/>
  <c r="K17" i="2"/>
  <c r="W17" i="2" s="1"/>
  <c r="J16" i="2"/>
  <c r="V16" i="2" s="1"/>
  <c r="I16" i="2"/>
  <c r="U16" i="2" s="1"/>
  <c r="H16" i="2"/>
  <c r="T16" i="2" s="1"/>
  <c r="G16" i="2"/>
  <c r="S16" i="2" s="1"/>
  <c r="F16" i="2"/>
  <c r="R16" i="2" s="1"/>
  <c r="E16" i="2"/>
  <c r="Q16" i="2" s="1"/>
  <c r="D16" i="2"/>
  <c r="P16" i="2" s="1"/>
  <c r="C16" i="2"/>
  <c r="O16" i="2" s="1"/>
  <c r="H15" i="2"/>
  <c r="T15" i="2" s="1"/>
  <c r="G15" i="2"/>
  <c r="S15" i="2" s="1"/>
  <c r="F15" i="2"/>
  <c r="R15" i="2" s="1"/>
  <c r="E15" i="2"/>
  <c r="G14" i="2"/>
  <c r="F14" i="2"/>
  <c r="E14" i="2"/>
  <c r="G13" i="2"/>
  <c r="S13" i="2" s="1"/>
  <c r="F13" i="2"/>
  <c r="R13" i="2" s="1"/>
  <c r="E13" i="2"/>
  <c r="Q13" i="2" s="1"/>
  <c r="G12" i="2"/>
  <c r="S12" i="2" s="1"/>
  <c r="F12" i="2"/>
  <c r="R12" i="2" s="1"/>
  <c r="E12" i="2"/>
  <c r="Q12" i="2" s="1"/>
  <c r="G11" i="2"/>
  <c r="S11" i="2" s="1"/>
  <c r="F11" i="2"/>
  <c r="R11" i="2" s="1"/>
  <c r="E11" i="2"/>
  <c r="Q11" i="2" s="1"/>
  <c r="J10" i="2"/>
  <c r="V10" i="2" s="1"/>
  <c r="I10" i="2"/>
  <c r="U10" i="2" s="1"/>
  <c r="H10" i="2"/>
  <c r="T10" i="2" s="1"/>
  <c r="G10" i="2"/>
  <c r="S10" i="2" s="1"/>
  <c r="F10" i="2"/>
  <c r="R10" i="2" s="1"/>
  <c r="E10" i="2"/>
  <c r="Q10" i="2" s="1"/>
  <c r="D10" i="2"/>
  <c r="P10" i="2" s="1"/>
  <c r="C10" i="2"/>
  <c r="O10" i="2" s="1"/>
  <c r="F9" i="2"/>
  <c r="E9" i="2"/>
  <c r="E9" i="1"/>
  <c r="E27" i="1" s="1"/>
  <c r="B7" i="1"/>
  <c r="B2" i="2" s="1"/>
  <c r="E22" i="2" l="1"/>
  <c r="E4" i="2"/>
  <c r="D271" i="2"/>
  <c r="D69" i="3" s="1"/>
  <c r="R45" i="2"/>
  <c r="C92" i="2"/>
  <c r="L45" i="2"/>
  <c r="H73" i="2"/>
  <c r="E57" i="2"/>
  <c r="F57" i="2"/>
  <c r="Q81" i="2"/>
  <c r="E69" i="3"/>
  <c r="E106" i="3" s="1"/>
  <c r="E68" i="2"/>
  <c r="D177" i="2"/>
  <c r="C292" i="2" s="1"/>
  <c r="L53" i="2"/>
  <c r="J219" i="2"/>
  <c r="J275" i="2" s="1"/>
  <c r="I219" i="2"/>
  <c r="I275" i="2" s="1"/>
  <c r="J153" i="2"/>
  <c r="J188" i="2" s="1"/>
  <c r="AD157" i="2"/>
  <c r="AE157" i="2"/>
  <c r="C84" i="2"/>
  <c r="C85" i="2" s="1"/>
  <c r="K85" i="2" s="1"/>
  <c r="K86" i="2" s="1"/>
  <c r="H66" i="2"/>
  <c r="E69" i="2"/>
  <c r="L49" i="2"/>
  <c r="L153" i="2"/>
  <c r="O49" i="2"/>
  <c r="W49" i="2"/>
  <c r="Q166" i="2"/>
  <c r="C286" i="2"/>
  <c r="J220" i="2"/>
  <c r="J276" i="2" s="1"/>
  <c r="I220" i="2"/>
  <c r="I276" i="2" s="1"/>
  <c r="J218" i="2"/>
  <c r="J274" i="2" s="1"/>
  <c r="I218" i="2"/>
  <c r="I274" i="2" s="1"/>
  <c r="X32" i="2"/>
  <c r="T49" i="2"/>
  <c r="T65" i="2"/>
  <c r="U49" i="2"/>
  <c r="U65" i="2"/>
  <c r="S14" i="2"/>
  <c r="S65" i="2"/>
  <c r="R14" i="2"/>
  <c r="R65" i="2"/>
  <c r="K57" i="2"/>
  <c r="D65" i="2"/>
  <c r="E65" i="2" s="1"/>
  <c r="D74" i="2"/>
  <c r="D72" i="2"/>
  <c r="E72" i="2" s="1"/>
  <c r="G153" i="2"/>
  <c r="AH157" i="2"/>
  <c r="Q138" i="2"/>
  <c r="Q49" i="2"/>
  <c r="Q137" i="2"/>
  <c r="D67" i="2"/>
  <c r="E67" i="2" s="1"/>
  <c r="AJ157" i="2"/>
  <c r="I153" i="2"/>
  <c r="R47" i="2"/>
  <c r="E63" i="2"/>
  <c r="V49" i="2"/>
  <c r="V66" i="2" s="1"/>
  <c r="E74" i="2"/>
  <c r="O65" i="2"/>
  <c r="O14" i="2"/>
  <c r="O18" i="2"/>
  <c r="O61" i="2"/>
  <c r="I66" i="2"/>
  <c r="I74" i="2"/>
  <c r="I65" i="2"/>
  <c r="I64" i="2"/>
  <c r="I67" i="2"/>
  <c r="I72" i="2"/>
  <c r="V65" i="2"/>
  <c r="V14" i="2"/>
  <c r="Q14" i="2"/>
  <c r="T137" i="2"/>
  <c r="W137" i="2" s="1"/>
  <c r="Q65" i="2"/>
  <c r="I45" i="2"/>
  <c r="J45" i="2"/>
  <c r="V61" i="2" s="1"/>
  <c r="C106" i="3"/>
  <c r="AG151" i="2"/>
  <c r="M101" i="1"/>
  <c r="E178" i="3"/>
  <c r="J178" i="3" s="1"/>
  <c r="J106" i="3"/>
  <c r="S9" i="2"/>
  <c r="O53" i="2"/>
  <c r="O54" i="2" s="1"/>
  <c r="AA134" i="2"/>
  <c r="AD134" i="2"/>
  <c r="X134" i="2"/>
  <c r="P49" i="2"/>
  <c r="W61" i="2"/>
  <c r="D184" i="2"/>
  <c r="R134" i="2"/>
  <c r="E184" i="2"/>
  <c r="R49" i="2"/>
  <c r="D73" i="2"/>
  <c r="E73" i="2" s="1"/>
  <c r="H153" i="2"/>
  <c r="AI157" i="2"/>
  <c r="F184" i="2"/>
  <c r="S49" i="2"/>
  <c r="U134" i="2"/>
  <c r="Q9" i="2"/>
  <c r="Q61" i="2"/>
  <c r="X27" i="2"/>
  <c r="W45" i="2"/>
  <c r="AK157" i="2"/>
  <c r="AL157" i="2"/>
  <c r="H74" i="2"/>
  <c r="H65" i="2"/>
  <c r="H64" i="2"/>
  <c r="H72" i="2"/>
  <c r="L54" i="2"/>
  <c r="L51" i="2"/>
  <c r="L46" i="2"/>
  <c r="P14" i="2"/>
  <c r="P65" i="2"/>
  <c r="L48" i="2"/>
  <c r="Q36" i="2"/>
  <c r="Q142" i="2" s="1"/>
  <c r="Q141" i="2"/>
  <c r="Q46" i="2"/>
  <c r="Q47" i="2" s="1"/>
  <c r="AB57" i="2"/>
  <c r="L155" i="2"/>
  <c r="D64" i="2"/>
  <c r="E64" i="2" s="1"/>
  <c r="C153" i="2"/>
  <c r="D153" i="2"/>
  <c r="G45" i="2"/>
  <c r="S61" i="2" s="1"/>
  <c r="P18" i="2"/>
  <c r="P61" i="2"/>
  <c r="Q50" i="2"/>
  <c r="H45" i="2"/>
  <c r="W65" i="2"/>
  <c r="W66" i="2" s="1"/>
  <c r="W14" i="2"/>
  <c r="L52" i="2"/>
  <c r="D66" i="2"/>
  <c r="E66" i="2" s="1"/>
  <c r="K153" i="2"/>
  <c r="X14" i="2"/>
  <c r="C12" i="8"/>
  <c r="C15" i="3"/>
  <c r="D15" i="3" s="1"/>
  <c r="E15" i="3" s="1"/>
  <c r="L56" i="2"/>
  <c r="D13" i="8"/>
  <c r="H69" i="2"/>
  <c r="H70" i="2"/>
  <c r="H71" i="2"/>
  <c r="C79" i="2"/>
  <c r="AD152" i="2"/>
  <c r="C155" i="2" s="1"/>
  <c r="M102" i="1"/>
  <c r="R9" i="2"/>
  <c r="R61" i="2"/>
  <c r="I69" i="2"/>
  <c r="I70" i="2"/>
  <c r="AM157" i="2"/>
  <c r="L55" i="2"/>
  <c r="D71" i="2"/>
  <c r="E71" i="2" s="1"/>
  <c r="D70" i="2"/>
  <c r="E70" i="2" s="1"/>
  <c r="E153" i="2"/>
  <c r="AF157" i="2"/>
  <c r="L50" i="2"/>
  <c r="O45" i="2"/>
  <c r="P45" i="2"/>
  <c r="C57" i="2"/>
  <c r="T141" i="2"/>
  <c r="D57" i="2"/>
  <c r="F100" i="2" l="1"/>
  <c r="S66" i="2"/>
  <c r="J69" i="3"/>
  <c r="I84" i="2"/>
  <c r="E85" i="2"/>
  <c r="E86" i="2" s="1"/>
  <c r="C86" i="2"/>
  <c r="H84" i="2"/>
  <c r="D84" i="2"/>
  <c r="E84" i="2"/>
  <c r="F84" i="2"/>
  <c r="G84" i="2"/>
  <c r="L84" i="2"/>
  <c r="H85" i="2"/>
  <c r="H86" i="2" s="1"/>
  <c r="I85" i="2"/>
  <c r="I86" i="2" s="1"/>
  <c r="L85" i="2"/>
  <c r="L86" i="2" s="1"/>
  <c r="J85" i="2"/>
  <c r="J86" i="2" s="1"/>
  <c r="K84" i="2"/>
  <c r="J84" i="2"/>
  <c r="D85" i="2"/>
  <c r="D86" i="2" s="1"/>
  <c r="G85" i="2"/>
  <c r="G86" i="2" s="1"/>
  <c r="F85" i="2"/>
  <c r="F86" i="2" s="1"/>
  <c r="U141" i="2"/>
  <c r="X61" i="2"/>
  <c r="J189" i="2"/>
  <c r="X45" i="2"/>
  <c r="X47" i="2" s="1"/>
  <c r="X46" i="2"/>
  <c r="X50" i="2"/>
  <c r="R142" i="2"/>
  <c r="R68" i="2"/>
  <c r="R66" i="2"/>
  <c r="P68" i="2"/>
  <c r="U66" i="2"/>
  <c r="W62" i="2"/>
  <c r="W69" i="2" s="1"/>
  <c r="S68" i="2"/>
  <c r="U61" i="2"/>
  <c r="U68" i="2" s="1"/>
  <c r="I57" i="2"/>
  <c r="I184" i="2" s="1"/>
  <c r="U45" i="2"/>
  <c r="U62" i="2" s="1"/>
  <c r="F106" i="2"/>
  <c r="F124" i="2" s="1"/>
  <c r="T61" i="2"/>
  <c r="T68" i="2" s="1"/>
  <c r="H105" i="2"/>
  <c r="H123" i="2" s="1"/>
  <c r="H104" i="2"/>
  <c r="H122" i="2" s="1"/>
  <c r="H140" i="2" s="1"/>
  <c r="T45" i="2"/>
  <c r="H57" i="2"/>
  <c r="H184" i="2" s="1"/>
  <c r="Q68" i="2"/>
  <c r="W68" i="2"/>
  <c r="L57" i="2"/>
  <c r="E106" i="2"/>
  <c r="E124" i="2" s="1"/>
  <c r="T142" i="2"/>
  <c r="W142" i="2" s="1"/>
  <c r="I188" i="2"/>
  <c r="I189" i="2"/>
  <c r="S45" i="2"/>
  <c r="S62" i="2" s="1"/>
  <c r="G57" i="2"/>
  <c r="G184" i="2" s="1"/>
  <c r="U142" i="2"/>
  <c r="D188" i="2"/>
  <c r="D189" i="2"/>
  <c r="Q62" i="2"/>
  <c r="E189" i="2"/>
  <c r="E188" i="2"/>
  <c r="V68" i="2"/>
  <c r="Q66" i="2"/>
  <c r="Q51" i="2"/>
  <c r="C178" i="3"/>
  <c r="I178" i="3" s="1"/>
  <c r="I106" i="3"/>
  <c r="G102" i="2"/>
  <c r="G120" i="2" s="1"/>
  <c r="O68" i="2"/>
  <c r="J73" i="3"/>
  <c r="J110" i="3" s="1"/>
  <c r="J72" i="3"/>
  <c r="J109" i="3" s="1"/>
  <c r="C188" i="2"/>
  <c r="C189" i="2"/>
  <c r="H189" i="2"/>
  <c r="H188" i="2"/>
  <c r="O66" i="2"/>
  <c r="G189" i="2"/>
  <c r="G188" i="2"/>
  <c r="H106" i="2"/>
  <c r="H124" i="2" s="1"/>
  <c r="T66" i="2"/>
  <c r="F153" i="2"/>
  <c r="M153" i="2" s="1"/>
  <c r="AG157" i="2"/>
  <c r="AN157" i="2" s="1"/>
  <c r="AN151" i="2"/>
  <c r="R62" i="2"/>
  <c r="R69" i="2" s="1"/>
  <c r="P62" i="2"/>
  <c r="P47" i="2"/>
  <c r="O62" i="2"/>
  <c r="O47" i="2"/>
  <c r="P66" i="2"/>
  <c r="P53" i="2"/>
  <c r="P54" i="2" s="1"/>
  <c r="U138" i="2"/>
  <c r="R138" i="2"/>
  <c r="R137" i="2"/>
  <c r="X65" i="2"/>
  <c r="Y65" i="2" s="1"/>
  <c r="U137" i="2"/>
  <c r="X49" i="2"/>
  <c r="C184" i="2"/>
  <c r="R141" i="2"/>
  <c r="X141" i="2" s="1"/>
  <c r="C80" i="2"/>
  <c r="L79" i="2"/>
  <c r="L80" i="2" s="1"/>
  <c r="K79" i="2"/>
  <c r="K80" i="2" s="1"/>
  <c r="J79" i="2"/>
  <c r="J80" i="2" s="1"/>
  <c r="J104" i="2" s="1"/>
  <c r="J122" i="2" s="1"/>
  <c r="J140" i="2" s="1"/>
  <c r="I79" i="2"/>
  <c r="I80" i="2" s="1"/>
  <c r="I105" i="2" s="1"/>
  <c r="I123" i="2" s="1"/>
  <c r="F79" i="2"/>
  <c r="F80" i="2" s="1"/>
  <c r="E79" i="2"/>
  <c r="E80" i="2" s="1"/>
  <c r="D79" i="2"/>
  <c r="D80" i="2" s="1"/>
  <c r="H79" i="2"/>
  <c r="H80" i="2" s="1"/>
  <c r="G79" i="2"/>
  <c r="G80" i="2" s="1"/>
  <c r="G106" i="2" s="1"/>
  <c r="G124" i="2" s="1"/>
  <c r="T138" i="2"/>
  <c r="W138" i="2" s="1"/>
  <c r="I72" i="3"/>
  <c r="I109" i="3" s="1"/>
  <c r="I73" i="3"/>
  <c r="I110" i="3" s="1"/>
  <c r="J57" i="2"/>
  <c r="J184" i="2" s="1"/>
  <c r="V45" i="2"/>
  <c r="V62" i="2" s="1"/>
  <c r="V69" i="2" s="1"/>
  <c r="W141" i="2"/>
  <c r="D187" i="2"/>
  <c r="C187" i="2"/>
  <c r="I187" i="2"/>
  <c r="E187" i="2"/>
  <c r="D8" i="11" l="1"/>
  <c r="C8" i="11"/>
  <c r="C10" i="11" s="1"/>
  <c r="C16" i="11" s="1"/>
  <c r="C21" i="11" s="1"/>
  <c r="C9" i="3" s="1"/>
  <c r="Q8" i="11"/>
  <c r="I106" i="2"/>
  <c r="I124" i="2" s="1"/>
  <c r="I104" i="2"/>
  <c r="I122" i="2" s="1"/>
  <c r="I140" i="2" s="1"/>
  <c r="X62" i="2"/>
  <c r="S69" i="2"/>
  <c r="Y45" i="2"/>
  <c r="J187" i="2"/>
  <c r="J206" i="2" s="1"/>
  <c r="J309" i="2" s="1"/>
  <c r="C358" i="2"/>
  <c r="C21" i="3" s="1"/>
  <c r="C20" i="8" s="1"/>
  <c r="X137" i="2"/>
  <c r="C359" i="2"/>
  <c r="C360" i="2" s="1"/>
  <c r="H187" i="2"/>
  <c r="H206" i="2" s="1"/>
  <c r="H309" i="2" s="1"/>
  <c r="U69" i="2"/>
  <c r="X142" i="2"/>
  <c r="Q69" i="2"/>
  <c r="P69" i="2"/>
  <c r="C20" i="7"/>
  <c r="K81" i="2"/>
  <c r="K100" i="2"/>
  <c r="K104" i="2"/>
  <c r="K122" i="2" s="1"/>
  <c r="K140" i="2" s="1"/>
  <c r="C221" i="2" s="1"/>
  <c r="K105" i="2"/>
  <c r="K123" i="2" s="1"/>
  <c r="K101" i="2"/>
  <c r="K119" i="2" s="1"/>
  <c r="L81" i="2"/>
  <c r="L106" i="2"/>
  <c r="L124" i="2" s="1"/>
  <c r="L105" i="2"/>
  <c r="L123" i="2" s="1"/>
  <c r="L101" i="2"/>
  <c r="L119" i="2" s="1"/>
  <c r="L104" i="2"/>
  <c r="L122" i="2" s="1"/>
  <c r="C81" i="2"/>
  <c r="C101" i="2"/>
  <c r="C119" i="2" s="1"/>
  <c r="C102" i="2"/>
  <c r="C120" i="2" s="1"/>
  <c r="C104" i="2"/>
  <c r="C122" i="2" s="1"/>
  <c r="C140" i="2" s="1"/>
  <c r="C206" i="2" s="1"/>
  <c r="C105" i="2"/>
  <c r="C123" i="2" s="1"/>
  <c r="C100" i="2"/>
  <c r="C106" i="2"/>
  <c r="C124" i="2" s="1"/>
  <c r="L102" i="2"/>
  <c r="L120" i="2" s="1"/>
  <c r="G130" i="3"/>
  <c r="J181" i="3"/>
  <c r="F188" i="2"/>
  <c r="F189" i="2"/>
  <c r="Y68" i="2"/>
  <c r="L100" i="2"/>
  <c r="Y61" i="2"/>
  <c r="D130" i="3"/>
  <c r="I181" i="3"/>
  <c r="I206" i="2"/>
  <c r="H81" i="2"/>
  <c r="H101" i="2"/>
  <c r="H119" i="2" s="1"/>
  <c r="H100" i="2"/>
  <c r="H102" i="2"/>
  <c r="H120" i="2" s="1"/>
  <c r="D81" i="2"/>
  <c r="D101" i="2"/>
  <c r="D119" i="2" s="1"/>
  <c r="D104" i="2"/>
  <c r="D122" i="2" s="1"/>
  <c r="D140" i="2" s="1"/>
  <c r="D206" i="2" s="1"/>
  <c r="D102" i="2"/>
  <c r="D120" i="2" s="1"/>
  <c r="D100" i="2"/>
  <c r="D105" i="2"/>
  <c r="D123" i="2" s="1"/>
  <c r="D106" i="2"/>
  <c r="D124" i="2" s="1"/>
  <c r="X68" i="2"/>
  <c r="E81" i="2"/>
  <c r="E102" i="2"/>
  <c r="E120" i="2" s="1"/>
  <c r="E101" i="2"/>
  <c r="E119" i="2" s="1"/>
  <c r="E137" i="2" s="1"/>
  <c r="E105" i="2"/>
  <c r="E123" i="2" s="1"/>
  <c r="E141" i="2" s="1"/>
  <c r="E104" i="2"/>
  <c r="E122" i="2" s="1"/>
  <c r="E100" i="2"/>
  <c r="F187" i="2"/>
  <c r="F81" i="2"/>
  <c r="F102" i="2"/>
  <c r="F120" i="2" s="1"/>
  <c r="F101" i="2"/>
  <c r="F119" i="2" s="1"/>
  <c r="F104" i="2"/>
  <c r="F122" i="2" s="1"/>
  <c r="F140" i="2" s="1"/>
  <c r="F105" i="2"/>
  <c r="F123" i="2" s="1"/>
  <c r="J81" i="2"/>
  <c r="J101" i="2"/>
  <c r="J119" i="2" s="1"/>
  <c r="J100" i="2"/>
  <c r="O69" i="2"/>
  <c r="X51" i="2"/>
  <c r="X66" i="2"/>
  <c r="Y66" i="2" s="1"/>
  <c r="Z65" i="2" s="1"/>
  <c r="Z66" i="2" s="1"/>
  <c r="J105" i="2"/>
  <c r="J123" i="2" s="1"/>
  <c r="K102" i="2"/>
  <c r="K120" i="2" s="1"/>
  <c r="G131" i="3"/>
  <c r="J182" i="3"/>
  <c r="D131" i="3"/>
  <c r="I182" i="3"/>
  <c r="J106" i="2"/>
  <c r="J124" i="2" s="1"/>
  <c r="G81" i="2"/>
  <c r="G105" i="2"/>
  <c r="G123" i="2" s="1"/>
  <c r="G101" i="2"/>
  <c r="G119" i="2" s="1"/>
  <c r="G100" i="2"/>
  <c r="G104" i="2"/>
  <c r="G122" i="2" s="1"/>
  <c r="G140" i="2" s="1"/>
  <c r="K106" i="2"/>
  <c r="K124" i="2" s="1"/>
  <c r="X138" i="2"/>
  <c r="Y49" i="2"/>
  <c r="Z45" i="2" s="1"/>
  <c r="Z49" i="2" s="1"/>
  <c r="J102" i="2"/>
  <c r="J120" i="2" s="1"/>
  <c r="G187" i="2"/>
  <c r="I81" i="2"/>
  <c r="I101" i="2"/>
  <c r="I119" i="2" s="1"/>
  <c r="I102" i="2"/>
  <c r="I120" i="2" s="1"/>
  <c r="I100" i="2"/>
  <c r="T62" i="2"/>
  <c r="T69" i="2" s="1"/>
  <c r="C10" i="6" l="1"/>
  <c r="C16" i="6" s="1"/>
  <c r="Q10" i="11"/>
  <c r="Q16" i="11" s="1"/>
  <c r="Q21" i="11" s="1"/>
  <c r="D8" i="5"/>
  <c r="D10" i="5" s="1"/>
  <c r="D16" i="5" s="1"/>
  <c r="D21" i="5" s="1"/>
  <c r="C8" i="5"/>
  <c r="C10" i="5" s="1"/>
  <c r="C16" i="5" s="1"/>
  <c r="C21" i="5" s="1"/>
  <c r="D10" i="11"/>
  <c r="D16" i="11" s="1"/>
  <c r="D21" i="11" s="1"/>
  <c r="D9" i="3" s="1"/>
  <c r="L137" i="2"/>
  <c r="F206" i="2"/>
  <c r="F309" i="2" s="1"/>
  <c r="C22" i="3"/>
  <c r="C21" i="8" s="1"/>
  <c r="L141" i="2"/>
  <c r="AA141" i="2" s="1"/>
  <c r="Y62" i="2"/>
  <c r="Z61" i="2"/>
  <c r="Z62" i="2" s="1"/>
  <c r="E140" i="2"/>
  <c r="AC143" i="2"/>
  <c r="E207" i="2"/>
  <c r="Z141" i="2"/>
  <c r="L108" i="2"/>
  <c r="L118" i="2"/>
  <c r="Z137" i="2"/>
  <c r="E201" i="2"/>
  <c r="E138" i="2"/>
  <c r="L142" i="2"/>
  <c r="X69" i="2"/>
  <c r="Y69" i="2"/>
  <c r="Z68" i="2" s="1"/>
  <c r="Z69" i="2" s="1"/>
  <c r="L138" i="2"/>
  <c r="G206" i="2"/>
  <c r="D118" i="2"/>
  <c r="D108" i="2"/>
  <c r="G108" i="2"/>
  <c r="G118" i="2"/>
  <c r="K108" i="2"/>
  <c r="K118" i="2"/>
  <c r="C108" i="2"/>
  <c r="C118" i="2"/>
  <c r="F108" i="2"/>
  <c r="F118" i="2"/>
  <c r="H108" i="2"/>
  <c r="H118" i="2"/>
  <c r="C309" i="2"/>
  <c r="D137" i="3"/>
  <c r="D132" i="3"/>
  <c r="E142" i="2"/>
  <c r="I309" i="2"/>
  <c r="I108" i="2"/>
  <c r="I118" i="2"/>
  <c r="G132" i="3"/>
  <c r="L140" i="2"/>
  <c r="D221" i="2" s="1"/>
  <c r="AD143" i="2"/>
  <c r="AA137" i="2"/>
  <c r="D218" i="2"/>
  <c r="C21" i="7"/>
  <c r="D222" i="2"/>
  <c r="C18" i="6"/>
  <c r="C19" i="6" s="1"/>
  <c r="C21" i="6" s="1"/>
  <c r="C9" i="8" s="1"/>
  <c r="D11" i="3"/>
  <c r="C11" i="3"/>
  <c r="D9" i="7"/>
  <c r="C9" i="7"/>
  <c r="C10" i="7" s="1"/>
  <c r="J108" i="2"/>
  <c r="J118" i="2"/>
  <c r="C232" i="2"/>
  <c r="K309" i="2"/>
  <c r="D309" i="2"/>
  <c r="E118" i="2"/>
  <c r="E108" i="2"/>
  <c r="D136" i="3"/>
  <c r="D138" i="3" l="1"/>
  <c r="D26" i="3"/>
  <c r="E8" i="3"/>
  <c r="D25" i="3"/>
  <c r="D136" i="2"/>
  <c r="D126" i="2"/>
  <c r="AA138" i="2"/>
  <c r="AA139" i="2" s="1"/>
  <c r="D219" i="2"/>
  <c r="D229" i="2"/>
  <c r="F274" i="2" s="1"/>
  <c r="F72" i="3" s="1"/>
  <c r="H126" i="2"/>
  <c r="H136" i="2"/>
  <c r="E136" i="2"/>
  <c r="E144" i="2" s="1"/>
  <c r="E126" i="2"/>
  <c r="AC139" i="2"/>
  <c r="F126" i="2"/>
  <c r="F136" i="2"/>
  <c r="L309" i="2"/>
  <c r="D232" i="2"/>
  <c r="E202" i="2"/>
  <c r="Z138" i="2"/>
  <c r="Z139" i="2" s="1"/>
  <c r="I126" i="2"/>
  <c r="I136" i="2"/>
  <c r="L126" i="2"/>
  <c r="L136" i="2"/>
  <c r="AD139" i="2"/>
  <c r="K126" i="2"/>
  <c r="K136" i="2"/>
  <c r="C25" i="7"/>
  <c r="C24" i="7"/>
  <c r="D233" i="2"/>
  <c r="F278" i="2" s="1"/>
  <c r="F76" i="3" s="1"/>
  <c r="G309" i="2"/>
  <c r="D223" i="2"/>
  <c r="AA142" i="2"/>
  <c r="AA143" i="2" s="1"/>
  <c r="D277" i="2"/>
  <c r="D75" i="3" s="1"/>
  <c r="J126" i="2"/>
  <c r="J136" i="2"/>
  <c r="C136" i="2"/>
  <c r="C126" i="2"/>
  <c r="C110" i="2"/>
  <c r="C26" i="3"/>
  <c r="C25" i="3"/>
  <c r="Z142" i="2"/>
  <c r="Z143" i="2" s="1"/>
  <c r="E208" i="2"/>
  <c r="E309" i="2" s="1"/>
  <c r="G126" i="2"/>
  <c r="G136" i="2"/>
  <c r="E210" i="2" l="1"/>
  <c r="C318" i="2"/>
  <c r="E323" i="2" s="1"/>
  <c r="E308" i="2"/>
  <c r="E310" i="2" s="1"/>
  <c r="E313" i="2" s="1"/>
  <c r="C27" i="3"/>
  <c r="F200" i="2"/>
  <c r="F144" i="2"/>
  <c r="F210" i="2" s="1"/>
  <c r="C200" i="2"/>
  <c r="C144" i="2"/>
  <c r="C210" i="2" s="1"/>
  <c r="C128" i="2"/>
  <c r="C145" i="2" s="1"/>
  <c r="J144" i="2"/>
  <c r="J210" i="2" s="1"/>
  <c r="J200" i="2"/>
  <c r="H144" i="2"/>
  <c r="H210" i="2" s="1"/>
  <c r="H200" i="2"/>
  <c r="C26" i="7"/>
  <c r="K144" i="2"/>
  <c r="C225" i="2" s="1"/>
  <c r="C236" i="2" s="1"/>
  <c r="C217" i="2"/>
  <c r="D230" i="2"/>
  <c r="F275" i="2" s="1"/>
  <c r="F73" i="3" s="1"/>
  <c r="G200" i="2"/>
  <c r="G308" i="2" s="1"/>
  <c r="G144" i="2"/>
  <c r="G210" i="2" s="1"/>
  <c r="L144" i="2"/>
  <c r="D225" i="2" s="1"/>
  <c r="D236" i="2" s="1"/>
  <c r="D217" i="2"/>
  <c r="I200" i="2"/>
  <c r="I144" i="2"/>
  <c r="I210" i="2" s="1"/>
  <c r="D200" i="2"/>
  <c r="D144" i="2"/>
  <c r="D210" i="2" s="1"/>
  <c r="E11" i="3"/>
  <c r="C8" i="8"/>
  <c r="C10" i="8" s="1"/>
  <c r="D8" i="7"/>
  <c r="D10" i="7" s="1"/>
  <c r="D234" i="2"/>
  <c r="F279" i="2" s="1"/>
  <c r="F77" i="3" s="1"/>
  <c r="D27" i="3"/>
  <c r="F308" i="2" l="1"/>
  <c r="C25" i="8"/>
  <c r="C24" i="8"/>
  <c r="I308" i="2"/>
  <c r="E314" i="2"/>
  <c r="L308" i="2"/>
  <c r="D228" i="2"/>
  <c r="C239" i="2"/>
  <c r="C203" i="2"/>
  <c r="K308" i="2"/>
  <c r="C228" i="2"/>
  <c r="E8" i="7"/>
  <c r="D25" i="7"/>
  <c r="D24" i="7"/>
  <c r="H308" i="2"/>
  <c r="J308" i="2"/>
  <c r="D203" i="2"/>
  <c r="C256" i="2" l="1"/>
  <c r="C54" i="3" s="1"/>
  <c r="C204" i="2"/>
  <c r="C257" i="2" s="1"/>
  <c r="C55" i="3" s="1"/>
  <c r="J310" i="2"/>
  <c r="J314" i="2" s="1"/>
  <c r="D241" i="2"/>
  <c r="C273" i="2" s="1"/>
  <c r="C71" i="3" s="1"/>
  <c r="D240" i="2"/>
  <c r="H310" i="2"/>
  <c r="H314" i="2" s="1"/>
  <c r="L310" i="2"/>
  <c r="L314" i="2" s="1"/>
  <c r="D26" i="7"/>
  <c r="I310" i="2"/>
  <c r="I314" i="2" s="1"/>
  <c r="D8" i="8"/>
  <c r="D10" i="8" s="1"/>
  <c r="E10" i="7"/>
  <c r="K310" i="2"/>
  <c r="K314" i="2" s="1"/>
  <c r="D273" i="2"/>
  <c r="D71" i="3" s="1"/>
  <c r="C26" i="8"/>
  <c r="G310" i="2"/>
  <c r="G314" i="2" s="1"/>
  <c r="F310" i="2"/>
  <c r="F314" i="2" s="1"/>
  <c r="D204" i="2"/>
  <c r="D257" i="2" s="1"/>
  <c r="D55" i="3" s="1"/>
  <c r="D256" i="2"/>
  <c r="D54" i="3" s="1"/>
  <c r="K313" i="2" l="1"/>
  <c r="D308" i="2"/>
  <c r="D310" i="2" s="1"/>
  <c r="D314" i="2" s="1"/>
  <c r="F313" i="2"/>
  <c r="G313" i="2"/>
  <c r="E25" i="7"/>
  <c r="E24" i="7"/>
  <c r="C29" i="7" s="1"/>
  <c r="E8" i="8"/>
  <c r="E10" i="8" s="1"/>
  <c r="D25" i="8"/>
  <c r="D24" i="8"/>
  <c r="I313" i="2"/>
  <c r="L313" i="2"/>
  <c r="H313" i="2"/>
  <c r="C328" i="2"/>
  <c r="J261" i="2"/>
  <c r="J59" i="3" s="1"/>
  <c r="H261" i="2"/>
  <c r="H59" i="3" s="1"/>
  <c r="I261" i="2"/>
  <c r="C261" i="2"/>
  <c r="C59" i="3" s="1"/>
  <c r="F261" i="2"/>
  <c r="F59" i="3" s="1"/>
  <c r="D261" i="2"/>
  <c r="D59" i="3" s="1"/>
  <c r="C277" i="2"/>
  <c r="C75" i="3" s="1"/>
  <c r="E252" i="2"/>
  <c r="E50" i="3" s="1"/>
  <c r="G261" i="2"/>
  <c r="G59" i="3" s="1"/>
  <c r="E262" i="2"/>
  <c r="E60" i="3" s="1"/>
  <c r="E274" i="2"/>
  <c r="E72" i="3" s="1"/>
  <c r="E265" i="2"/>
  <c r="E63" i="3" s="1"/>
  <c r="E253" i="2"/>
  <c r="E51" i="3" s="1"/>
  <c r="E263" i="2"/>
  <c r="E61" i="3" s="1"/>
  <c r="E278" i="2"/>
  <c r="E76" i="3" s="1"/>
  <c r="F251" i="2"/>
  <c r="F49" i="3" s="1"/>
  <c r="G251" i="2"/>
  <c r="G49" i="3" s="1"/>
  <c r="J265" i="2"/>
  <c r="J63" i="3" s="1"/>
  <c r="C281" i="2"/>
  <c r="C79" i="3" s="1"/>
  <c r="E275" i="2"/>
  <c r="E73" i="3" s="1"/>
  <c r="F265" i="2"/>
  <c r="F63" i="3" s="1"/>
  <c r="E279" i="2"/>
  <c r="E77" i="3" s="1"/>
  <c r="I265" i="2"/>
  <c r="I63" i="3" s="1"/>
  <c r="I251" i="2"/>
  <c r="H251" i="2"/>
  <c r="H49" i="3" s="1"/>
  <c r="E281" i="2"/>
  <c r="E79" i="3" s="1"/>
  <c r="C265" i="2"/>
  <c r="C63" i="3" s="1"/>
  <c r="H265" i="2"/>
  <c r="H63" i="3" s="1"/>
  <c r="C255" i="2"/>
  <c r="C53" i="3" s="1"/>
  <c r="D265" i="2"/>
  <c r="D63" i="3" s="1"/>
  <c r="G265" i="2"/>
  <c r="G63" i="3" s="1"/>
  <c r="J251" i="2"/>
  <c r="J49" i="3" s="1"/>
  <c r="D255" i="2"/>
  <c r="D53" i="3" s="1"/>
  <c r="J313" i="2"/>
  <c r="C308" i="2"/>
  <c r="K263" i="2" l="1"/>
  <c r="K61" i="3" s="1"/>
  <c r="I59" i="3"/>
  <c r="D313" i="2"/>
  <c r="E25" i="8"/>
  <c r="C30" i="8" s="1"/>
  <c r="E24" i="8"/>
  <c r="C29" i="8" s="1"/>
  <c r="I49" i="3"/>
  <c r="K253" i="2"/>
  <c r="K51" i="3" s="1"/>
  <c r="L334" i="2"/>
  <c r="K334" i="2"/>
  <c r="L335" i="2"/>
  <c r="F334" i="2"/>
  <c r="E334" i="2"/>
  <c r="D334" i="2"/>
  <c r="C334" i="2"/>
  <c r="C335" i="2"/>
  <c r="H334" i="2"/>
  <c r="G334" i="2"/>
  <c r="K335" i="2"/>
  <c r="H335" i="2"/>
  <c r="G335" i="2"/>
  <c r="F335" i="2"/>
  <c r="E335" i="2"/>
  <c r="D335" i="2"/>
  <c r="C317" i="2"/>
  <c r="C310" i="2"/>
  <c r="C314" i="2" s="1"/>
  <c r="D26" i="8"/>
  <c r="E26" i="7"/>
  <c r="C32" i="7" s="1"/>
  <c r="C30" i="7"/>
  <c r="I335" i="2" l="1"/>
  <c r="J335" i="2"/>
  <c r="I334" i="2"/>
  <c r="K336" i="2"/>
  <c r="L336" i="2"/>
  <c r="D336" i="2"/>
  <c r="E336" i="2"/>
  <c r="F336" i="2"/>
  <c r="G336" i="2"/>
  <c r="H336" i="2"/>
  <c r="C313" i="2"/>
  <c r="E322" i="2"/>
  <c r="C319" i="2"/>
  <c r="C323" i="2" s="1"/>
  <c r="J334" i="2"/>
  <c r="C336" i="2"/>
  <c r="E26" i="8"/>
  <c r="C32" i="8" s="1"/>
  <c r="I336" i="2" l="1"/>
  <c r="C339" i="2"/>
  <c r="C338" i="2"/>
  <c r="J336" i="2"/>
  <c r="C322" i="2"/>
  <c r="L323" i="2"/>
  <c r="L322" i="2"/>
  <c r="C340" i="2" l="1"/>
  <c r="C329" i="2"/>
  <c r="E17" i="3"/>
  <c r="E25" i="3" s="1"/>
  <c r="C330" i="2"/>
  <c r="E18" i="3"/>
  <c r="E26" i="3" s="1"/>
  <c r="E27" i="3" l="1"/>
  <c r="C205" i="3"/>
  <c r="C31" i="3"/>
  <c r="C143" i="3"/>
  <c r="K345" i="2"/>
  <c r="G345" i="2"/>
  <c r="J345" i="2"/>
  <c r="F345" i="2"/>
  <c r="E345" i="2"/>
  <c r="D345" i="2"/>
  <c r="I345" i="2"/>
  <c r="H345" i="2"/>
  <c r="C345" i="2"/>
  <c r="L345" i="2"/>
  <c r="C142" i="3"/>
  <c r="C30" i="3"/>
  <c r="C204" i="3"/>
  <c r="F344" i="2"/>
  <c r="L344" i="2"/>
  <c r="K344" i="2"/>
  <c r="J344" i="2"/>
  <c r="I344" i="2"/>
  <c r="E344" i="2"/>
  <c r="D344" i="2"/>
  <c r="H344" i="2"/>
  <c r="C344" i="2"/>
  <c r="G344" i="2"/>
  <c r="D346" i="2" l="1"/>
  <c r="H346" i="2"/>
  <c r="I346" i="2"/>
  <c r="E346" i="2"/>
  <c r="J346" i="2"/>
  <c r="L346" i="2"/>
  <c r="C349" i="2"/>
  <c r="C346" i="2"/>
  <c r="F346" i="2"/>
  <c r="C348" i="2"/>
  <c r="G346" i="2"/>
  <c r="K346" i="2"/>
  <c r="C144" i="3"/>
  <c r="C206" i="3"/>
  <c r="C38" i="3"/>
  <c r="C33" i="3"/>
  <c r="I97" i="3" l="1"/>
  <c r="E114" i="3"/>
  <c r="H97" i="3"/>
  <c r="E91" i="3"/>
  <c r="E109" i="3"/>
  <c r="I90" i="3"/>
  <c r="G97" i="3"/>
  <c r="F97" i="3"/>
  <c r="D97" i="3"/>
  <c r="C97" i="3"/>
  <c r="D95" i="3"/>
  <c r="E110" i="3"/>
  <c r="C108" i="3"/>
  <c r="H90" i="3"/>
  <c r="G90" i="3"/>
  <c r="F90" i="3"/>
  <c r="C95" i="3"/>
  <c r="C94" i="3"/>
  <c r="E92" i="3"/>
  <c r="E113" i="3"/>
  <c r="C112" i="3"/>
  <c r="E99" i="3"/>
  <c r="E98" i="3"/>
  <c r="D94" i="3"/>
  <c r="C37" i="3"/>
  <c r="C39" i="3" s="1"/>
  <c r="C350" i="2"/>
  <c r="C352" i="2" s="1"/>
  <c r="C122" i="3" l="1"/>
  <c r="F122" i="3"/>
  <c r="G122" i="3"/>
  <c r="H122" i="3"/>
  <c r="C130" i="3"/>
  <c r="C123" i="3"/>
  <c r="D123" i="3"/>
  <c r="F123" i="3"/>
  <c r="G123" i="3"/>
  <c r="J90" i="3"/>
  <c r="I122" i="3"/>
  <c r="D122" i="3"/>
  <c r="F130" i="3"/>
  <c r="E123" i="3"/>
  <c r="E122" i="3"/>
  <c r="H123" i="3"/>
  <c r="C131" i="3"/>
  <c r="F131" i="3"/>
  <c r="J97" i="3"/>
  <c r="I123" i="3"/>
  <c r="F124" i="3" l="1"/>
  <c r="C124" i="3"/>
  <c r="I124" i="3"/>
  <c r="F132" i="3"/>
  <c r="H124" i="3"/>
  <c r="D124" i="3"/>
  <c r="C132" i="3"/>
  <c r="J123" i="3"/>
  <c r="E124" i="3"/>
  <c r="J122" i="3"/>
  <c r="C136" i="3" s="1"/>
  <c r="E136" i="3" s="1"/>
  <c r="C147" i="3" s="1"/>
  <c r="E147" i="3" s="1"/>
  <c r="G124" i="3"/>
  <c r="E164" i="3" l="1"/>
  <c r="C166" i="3"/>
  <c r="C167" i="3"/>
  <c r="I162" i="3"/>
  <c r="I194" i="3" s="1"/>
  <c r="F162" i="3"/>
  <c r="F194" i="3" s="1"/>
  <c r="G162" i="3"/>
  <c r="G194" i="3" s="1"/>
  <c r="H162" i="3"/>
  <c r="H194" i="3" s="1"/>
  <c r="C180" i="3"/>
  <c r="K194" i="3" s="1"/>
  <c r="E163" i="3"/>
  <c r="D167" i="3"/>
  <c r="D166" i="3"/>
  <c r="E181" i="3"/>
  <c r="E182" i="3"/>
  <c r="J162" i="3"/>
  <c r="J194" i="3" s="1"/>
  <c r="J124" i="3"/>
  <c r="C137" i="3"/>
  <c r="D194" i="3" l="1"/>
  <c r="E194" i="3"/>
  <c r="C138" i="3"/>
  <c r="E138" i="3" s="1"/>
  <c r="C149" i="3" s="1"/>
  <c r="E137" i="3"/>
  <c r="C148" i="3" s="1"/>
  <c r="E148" i="3" s="1"/>
  <c r="L194" i="3"/>
  <c r="C194" i="3"/>
  <c r="C198" i="3" l="1"/>
  <c r="C209" i="3" s="1"/>
  <c r="E209" i="3" s="1"/>
  <c r="E185" i="3"/>
  <c r="G169" i="3"/>
  <c r="G195" i="3" s="1"/>
  <c r="G196" i="3" s="1"/>
  <c r="I169" i="3"/>
  <c r="I195" i="3" s="1"/>
  <c r="I196" i="3" s="1"/>
  <c r="E170" i="3"/>
  <c r="E171" i="3"/>
  <c r="C169" i="3"/>
  <c r="C195" i="3" s="1"/>
  <c r="H169" i="3"/>
  <c r="H195" i="3" s="1"/>
  <c r="H196" i="3" s="1"/>
  <c r="D169" i="3"/>
  <c r="D195" i="3" s="1"/>
  <c r="D196" i="3" s="1"/>
  <c r="C184" i="3"/>
  <c r="K195" i="3" s="1"/>
  <c r="K196" i="3" s="1"/>
  <c r="E186" i="3"/>
  <c r="F169" i="3"/>
  <c r="F195" i="3" s="1"/>
  <c r="F196" i="3" s="1"/>
  <c r="J169" i="3"/>
  <c r="J195" i="3" s="1"/>
  <c r="J196" i="3" s="1"/>
  <c r="C196" i="3" l="1"/>
  <c r="E195" i="3"/>
  <c r="E196" i="3" s="1"/>
  <c r="L195" i="3"/>
  <c r="L196" i="3" s="1"/>
  <c r="C199" i="3" l="1"/>
  <c r="C210" i="3" l="1"/>
  <c r="E210" i="3" s="1"/>
  <c r="C200" i="3"/>
  <c r="C211" i="3" s="1"/>
  <c r="E2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Vogdes, Thomas C.</author>
    <author>Fee, George</author>
  </authors>
  <commentList>
    <comment ref="L102" authorId="0" shapeId="0" xr:uid="{B45FAA58-622D-4236-974C-319E133DDFA8}">
      <text>
        <r>
          <rPr>
            <b/>
            <sz val="9"/>
            <color indexed="81"/>
            <rFont val="Tahoma"/>
            <family val="2"/>
          </rPr>
          <t>Vogdes, Thomas C.:</t>
        </r>
        <r>
          <rPr>
            <sz val="9"/>
            <color indexed="81"/>
            <rFont val="Tahoma"/>
            <family val="2"/>
          </rPr>
          <t xml:space="preserve">
updated for completeness but transmission not used.</t>
        </r>
      </text>
    </comment>
    <comment ref="B138" authorId="1" shapeId="0" xr:uid="{BA1C18EA-3BC0-4E8F-A556-78DBF31A4B3E}">
      <text>
        <r>
          <rPr>
            <b/>
            <sz val="9"/>
            <color indexed="81"/>
            <rFont val="Tahoma"/>
            <family val="2"/>
          </rPr>
          <t>Fee, George:</t>
        </r>
        <r>
          <rPr>
            <sz val="9"/>
            <color indexed="81"/>
            <rFont val="Tahoma"/>
            <family val="2"/>
          </rPr>
          <t xml:space="preserve">
Only use "No" if analyzing estimated markup percentages</t>
        </r>
      </text>
    </comment>
  </commentList>
</comments>
</file>

<file path=xl/sharedStrings.xml><?xml version="1.0" encoding="utf-8"?>
<sst xmlns="http://schemas.openxmlformats.org/spreadsheetml/2006/main" count="1114" uniqueCount="431">
  <si>
    <t xml:space="preserve"> </t>
  </si>
  <si>
    <t>Adjusted to Billing Time Periods</t>
  </si>
  <si>
    <t>Table #1</t>
  </si>
  <si>
    <t>% Usage During PJM On-Peak Period</t>
  </si>
  <si>
    <t>On-Peak periods defined as the 16 hr PJM Trading period, adj for NERC holidays</t>
  </si>
  <si>
    <t>Profile Meter Data</t>
  </si>
  <si>
    <t xml:space="preserve">   --- Other Analysis ---</t>
  </si>
  <si>
    <t>(data rounded to nearest .01%)</t>
  </si>
  <si>
    <t>RS</t>
  </si>
  <si>
    <t>RHS</t>
  </si>
  <si>
    <t>RLM</t>
  </si>
  <si>
    <t>WH</t>
  </si>
  <si>
    <t>WHS</t>
  </si>
  <si>
    <t>HS</t>
  </si>
  <si>
    <t>PSAL</t>
  </si>
  <si>
    <t>BPL</t>
  </si>
  <si>
    <t>GLP</t>
  </si>
  <si>
    <t>LPL-S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</si>
  <si>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</si>
  <si>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</si>
  <si>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</si>
  <si>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</si>
  <si>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</si>
  <si>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</si>
  <si>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</si>
  <si>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</si>
  <si>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</si>
  <si>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</si>
  <si>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</si>
  <si>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</si>
  <si>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</si>
  <si>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% Usage During PSE&amp;G On-Peak Billing Period</t>
  </si>
  <si>
    <t>Table #3</t>
  </si>
  <si>
    <t>Class Usage @ customer</t>
  </si>
  <si>
    <t>in MWh</t>
  </si>
  <si>
    <t>LPL-S &gt; 500 kW PLS</t>
  </si>
  <si>
    <t>% of</t>
  </si>
  <si>
    <t>kWh</t>
  </si>
  <si>
    <t>Gen Obl</t>
  </si>
  <si>
    <t>Table #4</t>
  </si>
  <si>
    <t>Forwards Prices - Energy Only @ bulk system</t>
  </si>
  <si>
    <t>Table #5</t>
  </si>
  <si>
    <t>Zone to Western Hub Basis Differential</t>
  </si>
  <si>
    <t>in $/MWh, not including PJM losses</t>
  </si>
  <si>
    <t>Off/On Pk</t>
  </si>
  <si>
    <t>On-Peak</t>
  </si>
  <si>
    <t>LMP ratio</t>
  </si>
  <si>
    <t>Summer</t>
  </si>
  <si>
    <t>Winter</t>
  </si>
  <si>
    <t>Basis</t>
  </si>
  <si>
    <t>Off-Peak</t>
  </si>
  <si>
    <t>Table #6</t>
  </si>
  <si>
    <t>Loss Type</t>
  </si>
  <si>
    <t>Percentage</t>
  </si>
  <si>
    <t>Source</t>
  </si>
  <si>
    <t>Delivery Losses</t>
  </si>
  <si>
    <t>EHV Losses</t>
  </si>
  <si>
    <t>PJM - No update for 2025</t>
  </si>
  <si>
    <t>Marginal Loss Deration Factor</t>
  </si>
  <si>
    <t>Table #10</t>
  </si>
  <si>
    <t>Generation &amp; Transmission Obligations and Costs and Other Adjustments</t>
  </si>
  <si>
    <r>
      <t xml:space="preserve">Obligations - Peak Load shares eff 6/1/25, </t>
    </r>
    <r>
      <rPr>
        <i/>
        <sz val="10"/>
        <color rgb="FF143AF8"/>
        <rFont val="Arial"/>
        <family val="2"/>
      </rPr>
      <t>scaling factors eff 6/1/25</t>
    </r>
    <r>
      <rPr>
        <i/>
        <sz val="10"/>
        <color rgb="FF161BF6"/>
        <rFont val="Arial"/>
        <family val="2"/>
      </rPr>
      <t>, Transmission Loads eff 1/1/25; costs are market estimates</t>
    </r>
  </si>
  <si>
    <t>in MW</t>
  </si>
  <si>
    <t>Generation Peak Load Share</t>
  </si>
  <si>
    <t>Tranmsission Obligation</t>
  </si>
  <si>
    <t>Final Zonal RPM Scaling Factor</t>
  </si>
  <si>
    <t>Base Capacity</t>
  </si>
  <si>
    <t>Generation Capacity cost</t>
  </si>
  <si>
    <t>summer =</t>
  </si>
  <si>
    <t>$/MW/day</t>
  </si>
  <si>
    <t>winter =</t>
  </si>
  <si>
    <t>Required summer inversion =</t>
  </si>
  <si>
    <t>¢/kWh</t>
  </si>
  <si>
    <t>(same as 2003/2004 BGS blocking inversion)(generally not updated)</t>
  </si>
  <si>
    <t>Table #11</t>
  </si>
  <si>
    <t>Ancillary Services &amp; Renewable Power Cost</t>
  </si>
  <si>
    <t xml:space="preserve">Ancillary Services </t>
  </si>
  <si>
    <t>per MWh @  bulk system</t>
  </si>
  <si>
    <t>Renewable Power Cost</t>
  </si>
  <si>
    <t>BGS - CIEP BRA Clearing Price ($ per MW/Day)</t>
  </si>
  <si>
    <t>Annual Obligation Clearing Price</t>
  </si>
  <si>
    <t>per MWh</t>
  </si>
  <si>
    <t>Bill Impacts</t>
  </si>
  <si>
    <t>auction results and rates</t>
  </si>
  <si>
    <t>Specific BGS-RSCP Auction &gt;&gt;</t>
  </si>
  <si>
    <t>remaining portion of 36 month bid - 2024 auction</t>
  </si>
  <si>
    <t>remaining portion of 36 month bid - 2025 auction</t>
  </si>
  <si>
    <t>2026 auction</t>
  </si>
  <si>
    <t>remaining portion of 36 month bid - 2016 auction</t>
  </si>
  <si>
    <t>remaining portion of 36 month bid - 2017 auction</t>
  </si>
  <si>
    <t>remaining portion of 36 month bid - 2018 auction</t>
  </si>
  <si>
    <t>remaining portion of 36 month bid - 2019 auction</t>
  </si>
  <si>
    <t>remaining portion of 36 month bid - 2020 auction</t>
  </si>
  <si>
    <t>remaining portion of 36 month bid - 2021 auction</t>
  </si>
  <si>
    <t>remaining portion of 36 month bid - 2022 auction</t>
  </si>
  <si>
    <t>remaining portion of 36 month bid - 2023 auction</t>
  </si>
  <si>
    <t>Winning Bid - in $/MWh</t>
  </si>
  <si>
    <t># of Tranches for Bid</t>
  </si>
  <si>
    <t>Use Estimated amount in cell e136</t>
  </si>
  <si>
    <t>Yes</t>
  </si>
  <si>
    <t>Payment Factors</t>
  </si>
  <si>
    <t xml:space="preserve">                           Summer</t>
  </si>
  <si>
    <t xml:space="preserve">                           Winter</t>
  </si>
  <si>
    <t>% usage during Off-Peak period</t>
  </si>
  <si>
    <t xml:space="preserve"> -- Other Analysis --</t>
  </si>
  <si>
    <t>N/A</t>
  </si>
  <si>
    <t>Actual Billed Sales</t>
  </si>
  <si>
    <t>Usage by season - PSE&amp;G periods</t>
  </si>
  <si>
    <t>&lt; 500 kW</t>
  </si>
  <si>
    <t>Total</t>
  </si>
  <si>
    <t>%</t>
  </si>
  <si>
    <t>Trans Obl</t>
  </si>
  <si>
    <t>winter MWh =</t>
  </si>
  <si>
    <t>on-peak</t>
  </si>
  <si>
    <t>off-peak</t>
  </si>
  <si>
    <t>summer MWh =</t>
  </si>
  <si>
    <t>Block 1</t>
  </si>
  <si>
    <t>Block 2</t>
  </si>
  <si>
    <t>Usage by season/period - PJM periods</t>
  </si>
  <si>
    <t>in MWhs</t>
  </si>
  <si>
    <t>Resulting</t>
  </si>
  <si>
    <t>NYMEX Forwards -</t>
  </si>
  <si>
    <t>from NERA</t>
  </si>
  <si>
    <t xml:space="preserve">Congestion Factors &amp; On/Off Peak Ratios </t>
  </si>
  <si>
    <t>Summer Avg's from</t>
  </si>
  <si>
    <t xml:space="preserve">Winter Avg's from </t>
  </si>
  <si>
    <t>Total on-peak</t>
  </si>
  <si>
    <t>Total off-peak</t>
  </si>
  <si>
    <t>Losses</t>
  </si>
  <si>
    <t>from meter to bulk system (includes Delivery &amp; PJM EHV losses)</t>
  </si>
  <si>
    <t>Tariff (Result of 2018 Loss Study)</t>
  </si>
  <si>
    <t xml:space="preserve">     Loss Factors =</t>
  </si>
  <si>
    <t>PJM</t>
  </si>
  <si>
    <t xml:space="preserve">     Expansion Factor =</t>
  </si>
  <si>
    <t>NERA</t>
  </si>
  <si>
    <t xml:space="preserve">     1 / Expansion Factor =</t>
  </si>
  <si>
    <t>Marginal Loss Factor</t>
  </si>
  <si>
    <t>from meter to transmission node (includes Delivery less mean hourly PJM marginal losses)</t>
  </si>
  <si>
    <t xml:space="preserve">calc is :     = 1 - </t>
  </si>
  <si>
    <t>(1 - marginal loss (1.3154%)</t>
  </si>
  <si>
    <t>divided by:</t>
  </si>
  <si>
    <t>(1 - EHV losses (.456%)</t>
  </si>
  <si>
    <t xml:space="preserve">Therefore:  1 - </t>
  </si>
  <si>
    <t>1-0.013154</t>
  </si>
  <si>
    <t>1-0.00456</t>
  </si>
  <si>
    <t>Table #7</t>
  </si>
  <si>
    <t>Summary of Average BGS Energy Only Unit Costs @ customer - PJM Time Periods</t>
  </si>
  <si>
    <t>based on Forwards prices corrected for congestion &amp; all losses - PJM time periods</t>
  </si>
  <si>
    <t>in $/MWh</t>
  </si>
  <si>
    <t>Summer - all hrs</t>
  </si>
  <si>
    <t>PJM on pk</t>
  </si>
  <si>
    <t>PJM off pk</t>
  </si>
  <si>
    <t>Winter - all hrs</t>
  </si>
  <si>
    <t>Annual</t>
  </si>
  <si>
    <t>System Total</t>
  </si>
  <si>
    <t>Table #8</t>
  </si>
  <si>
    <t>Summary of Average BGS Energy Only Costs @ customer - PJM Time Periods</t>
  </si>
  <si>
    <t>based on Forwards prices corrected for congestion &amp; all losses</t>
  </si>
  <si>
    <t>in $1000</t>
  </si>
  <si>
    <t>Table #9</t>
  </si>
  <si>
    <t>Summary of Average BGS Energy Only Unit Costs @ customer - PSE&amp;G Time Periods</t>
  </si>
  <si>
    <t>MWhs in PSE&amp;G time periods</t>
  </si>
  <si>
    <t>MWhs in PJM time periods</t>
  </si>
  <si>
    <t>Difference in MWhs</t>
  </si>
  <si>
    <t>Check on total $ recovered</t>
  </si>
  <si>
    <t>based on Forwards prices corrected for congestion &amp; all losses - PSE&amp;G billing time periods</t>
  </si>
  <si>
    <t>(PJM - PSE&amp;G)</t>
  </si>
  <si>
    <t>PSE&amp;G time periods</t>
  </si>
  <si>
    <t>PJM time periods (Table #8)</t>
  </si>
  <si>
    <t>PSE&amp;G On pk</t>
  </si>
  <si>
    <t>PSE&amp;G Off pk</t>
  </si>
  <si>
    <t>Annual Average</t>
  </si>
  <si>
    <t>System Average</t>
  </si>
  <si>
    <t>Adj for PLS</t>
  </si>
  <si>
    <t>&gt; 500 kW</t>
  </si>
  <si>
    <t>Gen Obl - MW</t>
  </si>
  <si>
    <t>Trans Obl - MW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</si>
  <si>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</si>
  <si>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</si>
  <si>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</si>
  <si>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</si>
  <si>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</si>
  <si>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</si>
  <si>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Transmission Cost</t>
  </si>
  <si>
    <t>year round =</t>
  </si>
  <si>
    <t>per MW-yr</t>
  </si>
  <si>
    <t>Base
Capacity</t>
  </si>
  <si>
    <t>Capacity Proxy True Up</t>
  </si>
  <si>
    <t>Total Capacity</t>
  </si>
  <si>
    <t xml:space="preserve">Resulting average generation capacity cost = </t>
  </si>
  <si>
    <t>annual  &gt;&gt;</t>
  </si>
  <si>
    <t>per kW/yr</t>
  </si>
  <si>
    <t>% usage in Summer Blocks</t>
  </si>
  <si>
    <t>Block 1 (0-600 kWh/m)</t>
  </si>
  <si>
    <t>(based on W/N actuals used in settlement and final rate design of 2018 Rate Case, rounded to .1%)</t>
  </si>
  <si>
    <t>Blocking Percentages based on Annualized W/N Usage Used in 2018 Electric Rate Case Settlement</t>
  </si>
  <si>
    <t>Block 2  (&gt;600 kWh/m)</t>
  </si>
  <si>
    <t>June - September (0-600)</t>
  </si>
  <si>
    <t>(same as 2003/2004 BGS blocking inversion)</t>
  </si>
  <si>
    <t>June - September (600+)</t>
  </si>
  <si>
    <t>Total Summer Usage</t>
  </si>
  <si>
    <t>Total Ancillary Services &amp; Renewable Power Costs</t>
  </si>
  <si>
    <t>Table #12</t>
  </si>
  <si>
    <t>Summary of Obligation Costs Expressed as $/MWh @ customer (for non-demand rates only)</t>
  </si>
  <si>
    <t>Transmission Obl - all months</t>
  </si>
  <si>
    <t xml:space="preserve">Generation Obl -                </t>
  </si>
  <si>
    <t>per annual MWh</t>
  </si>
  <si>
    <t>recovery per summer MWh</t>
  </si>
  <si>
    <t>recovery per winter MWh</t>
  </si>
  <si>
    <t xml:space="preserve">For RLM, per </t>
  </si>
  <si>
    <t>on-peak kWh only</t>
  </si>
  <si>
    <t>Table #13</t>
  </si>
  <si>
    <t>Summary of BGS Unit Costs @ customer</t>
  </si>
  <si>
    <t>NON-DEMAND RATES</t>
  </si>
  <si>
    <t>includes energy, Generation obligations, Ancillary Services and Renewable Power Costs- adjusted to billing time periods</t>
  </si>
  <si>
    <t>Block 2 (&gt;600 kWh/m)</t>
  </si>
  <si>
    <t>Annual -all hrs</t>
  </si>
  <si>
    <t>DEMAND RATES</t>
  </si>
  <si>
    <t>includes energy and Ancillary Services, G&amp;T obligations charged separately - adjusted to billing time periods</t>
  </si>
  <si>
    <t>PLUS:</t>
  </si>
  <si>
    <t>Gen Cost</t>
  </si>
  <si>
    <t>summer</t>
  </si>
  <si>
    <t>per kW of G obl /month</t>
  </si>
  <si>
    <t>winter</t>
  </si>
  <si>
    <t>annual</t>
  </si>
  <si>
    <t>Trans cost</t>
  </si>
  <si>
    <t>all months</t>
  </si>
  <si>
    <t>per kW of T obl /month</t>
  </si>
  <si>
    <t>Annual - all hrs per MWh only</t>
  </si>
  <si>
    <t>Including Generation Obligation $</t>
  </si>
  <si>
    <t>Note: Obligation $ included in On pk costs</t>
  </si>
  <si>
    <t>Annual - including Gen Obl $</t>
  </si>
  <si>
    <t>ALL RATES</t>
  </si>
  <si>
    <t>Grand Total Cost in $1000 =</t>
  </si>
  <si>
    <t>All-In Average cost @ customer =</t>
  </si>
  <si>
    <t>per MWh at customer (per customer metered MWh)</t>
  </si>
  <si>
    <t>All-In Average costs @ transmission nodes =</t>
  </si>
  <si>
    <t>per MWh at transmission nodes (per metered MWh at transmission node)</t>
  </si>
  <si>
    <t>Table #14</t>
  </si>
  <si>
    <r>
      <t>Ratio of BGS Unit Costs @ customer to All-In Average Cost @ transmission nodes -</t>
    </r>
    <r>
      <rPr>
        <i/>
        <sz val="10"/>
        <rFont val="Arial"/>
        <family val="2"/>
      </rPr>
      <t xml:space="preserve"> rounded to 3 decimal places, unit obligation $ rounded to 4 decimal places</t>
    </r>
  </si>
  <si>
    <t>Use weighted average</t>
  </si>
  <si>
    <t>for all streetlighting =</t>
  </si>
  <si>
    <t>All usage Multiplier</t>
  </si>
  <si>
    <t>Constant (in $/MWh)</t>
  </si>
  <si>
    <t>for Block 1 (0-600 kWh/m) usage</t>
  </si>
  <si>
    <t>for Block 2 (&gt;600 kWh/m) usage</t>
  </si>
  <si>
    <t>Annual - all hrs</t>
  </si>
  <si>
    <t>Multiplier</t>
  </si>
  <si>
    <t>Assumptions:</t>
  </si>
  <si>
    <t>Gen Cost =</t>
  </si>
  <si>
    <t xml:space="preserve">/MW day </t>
  </si>
  <si>
    <t>Trans cost =</t>
  </si>
  <si>
    <t>Analysis time period =</t>
  </si>
  <si>
    <t>summer months</t>
  </si>
  <si>
    <t>winter months</t>
  </si>
  <si>
    <t>Ancillary Services &amp; RPS =</t>
  </si>
  <si>
    <t>Energy Costs =</t>
  </si>
  <si>
    <t xml:space="preserve"> based on Forwards @ PJM West - corrected for congestion</t>
  </si>
  <si>
    <t>Usage patterns =</t>
  </si>
  <si>
    <t>Obligations =</t>
  </si>
  <si>
    <t xml:space="preserve"> class totals in effect as of filing date</t>
  </si>
  <si>
    <t>Losses =</t>
  </si>
  <si>
    <t xml:space="preserve"> Delivery losses from tariff, PJM losses based on 3 year average %</t>
  </si>
  <si>
    <t>PJM Time Periods =</t>
  </si>
  <si>
    <t xml:space="preserve"> PJM trading time periods - 7 AM to 11 PM weekdays, local time, x NERC </t>
  </si>
  <si>
    <t xml:space="preserve">     holidays - New Year's, Memorial, 4th of July, Labor Day, Thanksgiving &amp; Christmas</t>
  </si>
  <si>
    <t>PSE&amp;G Billing time periods =</t>
  </si>
  <si>
    <t xml:space="preserve"> as per specific rate schedule</t>
  </si>
  <si>
    <t>NJ SUT (Sales &amp; Use Tax) =</t>
  </si>
  <si>
    <t>SUT excluded from all rates</t>
  </si>
  <si>
    <t>Table #15</t>
  </si>
  <si>
    <t>Summary of Total BGS Costs by Season</t>
  </si>
  <si>
    <t>Total Costs by Rate - in $1000</t>
  </si>
  <si>
    <t>% of Annual Total $ by Rate</t>
  </si>
  <si>
    <t>Total Costs - in $1000</t>
  </si>
  <si>
    <t>rounded to 4 decimal places</t>
  </si>
  <si>
    <t>% of Annual Total $</t>
  </si>
  <si>
    <t xml:space="preserve">         If total $ were split on a per MWh basis (on transmission node MWhs):</t>
  </si>
  <si>
    <t>per MWh @ trans nodes</t>
  </si>
  <si>
    <t>Ratio to All-In Cost &gt;&gt;&gt;</t>
  </si>
  <si>
    <t>Table #16</t>
  </si>
  <si>
    <r>
      <t xml:space="preserve">Spreadsheet Error Checking - </t>
    </r>
    <r>
      <rPr>
        <i/>
        <sz val="10"/>
        <rFont val="Arial"/>
        <family val="2"/>
      </rPr>
      <t>Reconciliation of Customer Revenue and Supplier Payments, based on above data only</t>
    </r>
  </si>
  <si>
    <t>Assumed Winning Bid Price =</t>
  </si>
  <si>
    <t>(bid includes payments for all losses)</t>
  </si>
  <si>
    <t>Payment Ratio - Summer =</t>
  </si>
  <si>
    <t>Payment Ratio - Winter =</t>
  </si>
  <si>
    <t>Total Rate Revenue - in $1000</t>
  </si>
  <si>
    <t>Total Summer</t>
  </si>
  <si>
    <t>Total Winter</t>
  </si>
  <si>
    <t>Grand Total</t>
  </si>
  <si>
    <t>Total Supplier Payment - in $1000</t>
  </si>
  <si>
    <t>Difference ( in $1000) =</t>
  </si>
  <si>
    <t>Note: Minor differences in totals are due to rounding of Bid Factors and Payment Factors</t>
  </si>
  <si>
    <t>Table #17</t>
  </si>
  <si>
    <t>Total Supplier Energy</t>
  </si>
  <si>
    <t>@ transmission nodes</t>
  </si>
  <si>
    <t>NJ Sales &amp; Use Tax (SUT) excluded</t>
  </si>
  <si>
    <t>Table A</t>
  </si>
  <si>
    <t>Auction Results</t>
  </si>
  <si>
    <t>line #</t>
  </si>
  <si>
    <t>Notes:</t>
  </si>
  <si>
    <t>1A</t>
  </si>
  <si>
    <t>Capacity Proxy Price True-Up - in $/MWh</t>
  </si>
  <si>
    <t>1B</t>
  </si>
  <si>
    <t>1C</t>
  </si>
  <si>
    <t>Total - in $/MWh</t>
  </si>
  <si>
    <t>= line 1 + line 1A - line 1B</t>
  </si>
  <si>
    <t xml:space="preserve">      (includes all payments, including impact of PJM marginal losses)</t>
  </si>
  <si>
    <t>from current Attach2 - BidFactors</t>
  </si>
  <si>
    <t>Total # of Tranches</t>
  </si>
  <si>
    <r>
      <t xml:space="preserve">Applicable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</si>
  <si>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t xml:space="preserve">                           Summer MWh</t>
  </si>
  <si>
    <t>from Table #17 of the current Attach2 - BidFactors</t>
  </si>
  <si>
    <t xml:space="preserve">                           Winter MWh</t>
  </si>
  <si>
    <r>
      <t xml:space="preserve">Total Payment to Suppliers </t>
    </r>
    <r>
      <rPr>
        <i/>
        <sz val="10"/>
        <rFont val="Arial"/>
        <family val="2"/>
      </rPr>
      <t xml:space="preserve">- in $1000 </t>
    </r>
  </si>
  <si>
    <t xml:space="preserve">= ((1C * (2)/(3) * (4) * (6)) /1000 </t>
  </si>
  <si>
    <t>= ((1C * (2)/(3) * (5) * (7)) /1000</t>
  </si>
  <si>
    <t xml:space="preserve">                           Total</t>
  </si>
  <si>
    <t>Note: $ reflect total payment</t>
  </si>
  <si>
    <r>
      <t xml:space="preserve">Average Payment to Suppliers </t>
    </r>
    <r>
      <rPr>
        <i/>
        <sz val="10"/>
        <rFont val="Arial"/>
        <family val="2"/>
      </rPr>
      <t>- in $/MWh</t>
    </r>
  </si>
  <si>
    <t>= sum(line 8) / (6) - rounded to 3 decimal places</t>
  </si>
  <si>
    <t>= sum(line 9) / (7) - rounded to 3 decimal places</t>
  </si>
  <si>
    <t xml:space="preserve">                Total weighted average</t>
  </si>
  <si>
    <t xml:space="preserve">   &lt;&lt;&lt; used in calculation of</t>
  </si>
  <si>
    <t>= sum(line 10) / [ (6) + (7)]</t>
  </si>
  <si>
    <t xml:space="preserve">           Customer Rates</t>
  </si>
  <si>
    <t xml:space="preserve">   rounded to 3 decimal places</t>
  </si>
  <si>
    <r>
      <t>Reconciliation of amounts</t>
    </r>
    <r>
      <rPr>
        <i/>
        <sz val="10"/>
        <rFont val="Arial"/>
        <family val="2"/>
      </rPr>
      <t xml:space="preserve"> - in $1000</t>
    </r>
  </si>
  <si>
    <t>Weighted Average * Total MWh =</t>
  </si>
  <si>
    <t>= (13) * [(6)+(7)] / 1000</t>
  </si>
  <si>
    <t>Total Payment to Suppliers =</t>
  </si>
  <si>
    <t>= sum (line 10)</t>
  </si>
  <si>
    <t>Difference =</t>
  </si>
  <si>
    <t>= line (14) - line (15)</t>
  </si>
  <si>
    <t>Table B</t>
  </si>
  <si>
    <t>Ratio of BGS Unit Costs @ customer to All-In Average Cost @ transmission nodes</t>
  </si>
  <si>
    <t>from Table #14 of the bid factor spreadsheet (Attach2 - BidFactors)</t>
  </si>
  <si>
    <t>rounded to 3 decimal places, unit obligation $ rounded to 4 decimal places</t>
  </si>
  <si>
    <t>includes energy, G&amp;T obligations, and Ancillary Services - adjusted to billing time periods</t>
  </si>
  <si>
    <t>Annual - including T&amp;G Obl $</t>
  </si>
  <si>
    <t>Table C</t>
  </si>
  <si>
    <r>
      <t xml:space="preserve">Preliminary Resulting BGS Rates (in cents per kWh) - </t>
    </r>
    <r>
      <rPr>
        <i/>
        <sz val="10"/>
        <rFont val="Arial"/>
        <family val="2"/>
      </rPr>
      <t>equal to bid factors times weighted average bid price</t>
    </r>
  </si>
  <si>
    <t xml:space="preserve">   rounded to 4 decimal places</t>
  </si>
  <si>
    <t>NON-DEMAND RATES -----------------------------------------------------------------------------------------------------------------------------------------------------------------------</t>
  </si>
  <si>
    <t>DEMAND RATES --------------------------------------------------------------------------------------------------------------------------------------------------------------------------------</t>
  </si>
  <si>
    <t>Table D</t>
  </si>
  <si>
    <r>
      <t xml:space="preserve">Revenue Recovery Calculations - </t>
    </r>
    <r>
      <rPr>
        <i/>
        <sz val="10"/>
        <rFont val="Arial"/>
        <family val="2"/>
      </rPr>
      <t>Reconciliation of seasonal Customer Revenue and Supplier Payments, based on actual anticipated revenues and payments</t>
    </r>
  </si>
  <si>
    <t>Total Preliminary Rate Revenue - in $1000</t>
  </si>
  <si>
    <t>Energy $</t>
  </si>
  <si>
    <t>Obligation $</t>
  </si>
  <si>
    <t>Total $</t>
  </si>
  <si>
    <t>kWh Rate</t>
  </si>
  <si>
    <t>Adjustment</t>
  </si>
  <si>
    <t xml:space="preserve">   rounded to 5 decimal places</t>
  </si>
  <si>
    <t>Differences - in $1000</t>
  </si>
  <si>
    <t>Factors</t>
  </si>
  <si>
    <t xml:space="preserve">Note: These differences are due to rounding and seasonal differences in Bidder Payments (which are based on prior </t>
  </si>
  <si>
    <t xml:space="preserve">          wining bids and Seasonal Payment Factors) and current Rates (based on current seasonal market differentials)</t>
  </si>
  <si>
    <t>Table E</t>
  </si>
  <si>
    <r>
      <t xml:space="preserve">Final Resulting BGS Rates from Auctions (in cents per kWh) - </t>
    </r>
    <r>
      <rPr>
        <i/>
        <sz val="10"/>
        <rFont val="Arial"/>
        <family val="2"/>
      </rPr>
      <t>with preliminary kWh rates adjusted by the kWh Rate Adjustment Factor</t>
    </r>
  </si>
  <si>
    <t>includes energy, G&amp;T obligations, and Ancillary Services - adjusted to billing time periods &amp; adjustment to energy price</t>
  </si>
  <si>
    <t>includes energy and Ancillary Services, G&amp;T obligations charged separately - adjusted to billing time periods &amp; adjustment to energy price</t>
  </si>
  <si>
    <t>Table F</t>
  </si>
  <si>
    <r>
      <t>Spreadsheet Error Checking</t>
    </r>
    <r>
      <rPr>
        <i/>
        <sz val="10"/>
        <rFont val="Arial"/>
        <family val="2"/>
      </rPr>
      <t xml:space="preserve"> - Checking of seasonal Customer Revenue and Supplier Payments, based on final actual anticipated revenues and payments</t>
    </r>
  </si>
  <si>
    <t>% difference</t>
  </si>
  <si>
    <t>Development of Capacity Proxy Price True-Up - $/MWh</t>
  </si>
  <si>
    <t>2026/2027 Delivery Year - Illustrative Data</t>
  </si>
  <si>
    <t>Capacity Proxy Price True-Up Development for Winning Suppliers from 2024 BGS-RSCP Auction</t>
  </si>
  <si>
    <t xml:space="preserve">Capacity Proxy Price True-Up Development for Winning Suppliers from 2025 BGS-RSCP Auction </t>
  </si>
  <si>
    <r>
      <t xml:space="preserve">Capacity Proxy Price True-Up Development for Winning Suppliers from 2026 BGS-RSCP Auction 
</t>
    </r>
    <r>
      <rPr>
        <sz val="10"/>
        <color rgb="FFC00000"/>
        <rFont val="Arial"/>
        <family val="2"/>
      </rPr>
      <t>(if needed)</t>
    </r>
  </si>
  <si>
    <t>2026/27
Delivery Year</t>
  </si>
  <si>
    <t>Zonal Capacity Price ($/MW-day)</t>
  </si>
  <si>
    <t>as may be determined by the RPM or its successor or otherwise</t>
  </si>
  <si>
    <t>Capacity Proxy Price ($/MW-day)</t>
  </si>
  <si>
    <t>Capacity Proxy Price True-Up - $/MW-day</t>
  </si>
  <si>
    <t xml:space="preserve">= line 1 - line 2 </t>
  </si>
  <si>
    <t>BGS-RSCP Gen Obl - MW</t>
  </si>
  <si>
    <t>Days in Year</t>
  </si>
  <si>
    <t xml:space="preserve">Capacity Proxy Price True-Up Annual Cost </t>
  </si>
  <si>
    <t>= line 3 * line 4 * line 5</t>
  </si>
  <si>
    <t>Eligible Tranches</t>
  </si>
  <si>
    <t>from Table A</t>
  </si>
  <si>
    <t>Total Tranches</t>
  </si>
  <si>
    <t>% of tranches eligible for payment</t>
  </si>
  <si>
    <t>= line 7 / line 8</t>
  </si>
  <si>
    <t xml:space="preserve">Capacity Proxy Price True-Up Cost </t>
  </si>
  <si>
    <t>= line 6 * line 9</t>
  </si>
  <si>
    <t>Total Applicable Customer Usage @ bulk system - in MWh</t>
  </si>
  <si>
    <r>
      <t xml:space="preserve">Eligible Customer Usage @ bulk system </t>
    </r>
    <r>
      <rPr>
        <b/>
        <i/>
        <sz val="10"/>
        <rFont val="Arial"/>
        <family val="2"/>
      </rPr>
      <t>- in MWh</t>
    </r>
  </si>
  <si>
    <t>= line 9 * line 11</t>
  </si>
  <si>
    <t>Capacity Proxy Price True-Up - $/MWh</t>
  </si>
  <si>
    <t>= line 10/ line 12 - rounded to 2 decimal places</t>
  </si>
  <si>
    <t>2027/2028 Delivery Year - Illustrative Data</t>
  </si>
  <si>
    <t>Capacity Proxy Price True-Up Development for Winning Suppliers from 2025 BGS-RSCP Auction</t>
  </si>
  <si>
    <t>2027/28
Delivery Year</t>
  </si>
  <si>
    <t>2028/2029 Delivery Year - Illustrative Data</t>
  </si>
  <si>
    <t>2028/29
Delivery Year</t>
  </si>
  <si>
    <t>Table A With Additional Line Item</t>
  </si>
  <si>
    <t>Calculation of June 2027 to May 2028 BGS-RSCP Rates</t>
  </si>
  <si>
    <t>Illustrative Purposes Only</t>
  </si>
  <si>
    <t>remaining portion of 36 month bid - 2026 auction</t>
  </si>
  <si>
    <t>36 month bid - 2027 auction</t>
  </si>
  <si>
    <t>27/28 Capacity Proxy Price True-up - in $/MWh</t>
  </si>
  <si>
    <t>entered after 2027 BGS Auction</t>
  </si>
  <si>
    <t>= line 1 + line 1A</t>
  </si>
  <si>
    <t>Applicable Customer Usage @ bulk system - in MWh</t>
  </si>
  <si>
    <t>= (1B * (2)/(3) * (4) * (6)) / 1000</t>
  </si>
  <si>
    <t>= (1B * (2)/(3) * (5) * (7)) / 1000</t>
  </si>
  <si>
    <t>= sum(line 8) / (6) - rounded to 2 decimal places</t>
  </si>
  <si>
    <t>= sum(line 9) / (7) - rounded to 2 decimal places</t>
  </si>
  <si>
    <t xml:space="preserve">   rounded to 2 decimal places</t>
  </si>
  <si>
    <t>Calculation of June 2028 to May 2029 BGS-RSCP Rates</t>
  </si>
  <si>
    <t>remaining portion of 36 month bid - 2027 auction</t>
  </si>
  <si>
    <t>36 month bid - 2028 auction</t>
  </si>
  <si>
    <t>28/29 Capacity Proxy Price True-up - in $/MWh</t>
  </si>
  <si>
    <t>entered after 2028 BGS Auction</t>
  </si>
  <si>
    <t xml:space="preserve">Tariff (Result of 2018 Rate Case Loss Study) </t>
  </si>
  <si>
    <t xml:space="preserve">Illustrative Only </t>
  </si>
  <si>
    <t>Winning Bids</t>
  </si>
  <si>
    <t>entered after 2026 Auction</t>
  </si>
  <si>
    <t>per Board Orders dated 11/17/2023 and 11/21/2024</t>
  </si>
  <si>
    <t>Capacity Proxy Price True-Up Development for Winning Suppliers from 2026 BGS-RSCP Auction 
(if needed)</t>
  </si>
  <si>
    <t>per Board Orders dated 11/21/2024 and 11/21/2025</t>
  </si>
  <si>
    <t>per Board Order dated 11/21/2025</t>
  </si>
  <si>
    <t>August 2022 to July 2025</t>
  </si>
  <si>
    <t>October 2022 to May 2025</t>
  </si>
  <si>
    <t>Updated per NERA  June 6, 2025</t>
  </si>
  <si>
    <t>Rates effective as of 11/1/2025</t>
  </si>
  <si>
    <t>Scenario Name</t>
  </si>
  <si>
    <t>Report year</t>
  </si>
  <si>
    <t>Scenario Descr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</si>
</sst>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0.0%"/>
    <numFmt numFmtId="166" formatCode="_(* #,##0_);_(* \(#,##0\);_(* &quot;-&quot;??_);_(@_)"/>
    <numFmt numFmtId="167" formatCode="0.0000"/>
    <numFmt numFmtId="168" formatCode="#,##0.000"/>
    <numFmt numFmtId="169" formatCode="0.0000%"/>
    <numFmt numFmtId="170" formatCode="0.00000"/>
    <numFmt numFmtId="171" formatCode="0.000000"/>
    <numFmt numFmtId="172" formatCode="#,##0.0"/>
    <numFmt numFmtId="173" formatCode="0.00000000"/>
    <numFmt numFmtId="174" formatCode="#,##0.0_);[Red]\(#,##0.0\)"/>
    <numFmt numFmtId="175" formatCode="&quot;$&quot;#,##0.00"/>
    <numFmt numFmtId="176" formatCode="_(&quot;$&quot;* #,##0_);_(&quot;$&quot;* \(#,##0\);_(&quot;$&quot;* &quot;-&quot;??_);_(@_)"/>
    <numFmt numFmtId="177" formatCode="_(&quot;$&quot;* #,##0.0000_);_(&quot;$&quot;* \(#,##0.0000\);_(&quot;$&quot;* &quot;-&quot;??_);_(@_)"/>
    <numFmt numFmtId="178" formatCode="_(* #,##0.000_);_(* \(#,##0.000\);_(* &quot;-&quot;??_);_(@_)"/>
    <numFmt numFmtId="179" formatCode="_(&quot;$&quot;* #,##0.000_);_(&quot;$&quot;* \(#,##0.000\);_(&quot;$&quot;* &quot;-&quot;??_);_(@_)"/>
    <numFmt numFmtId="180" formatCode="_(* #,##0.0000_);_(* \(#,##0.0000\);_(* &quot;-&quot;??_);_(@_)"/>
    <numFmt numFmtId="181" formatCode="&quot;$&quot;#,##0"/>
    <numFmt numFmtId="182" formatCode="0.00000%"/>
    <numFmt numFmtId="183" formatCode="0.0"/>
    <numFmt numFmtId="184" formatCode="&quot;$&quot;#,##0.0000"/>
    <numFmt numFmtId="185" formatCode="_(&quot;$&quot;* #,##0.00000_);_(&quot;$&quot;* \(#,##0.00000\);_(&quot;$&quot;* &quot;-&quot;??_);_(@_)"/>
    <numFmt numFmtId="186" formatCode="[$-409]mmmm\ d\,\ yyyy;@"/>
  </numFmts>
  <fonts count="62"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color rgb="FF161BF6"/>
      <name val="Arial"/>
      <family val="2"/>
    </font>
    <font>
      <b/>
      <sz val="10"/>
      <color indexed="54"/>
      <name val="Arial"/>
      <family val="2"/>
    </font>
    <font>
      <i/>
      <sz val="9"/>
      <name val="Arial"/>
      <family val="2"/>
    </font>
    <font>
      <sz val="9"/>
      <color indexed="12"/>
      <name val="Arial"/>
      <family val="2"/>
    </font>
    <font>
      <sz val="10"/>
      <color rgb="FF161BF6"/>
      <name val="Arial"/>
      <family val="2"/>
    </font>
    <font>
      <i/>
      <sz val="9"/>
      <color rgb="FF161BF6"/>
      <name val="Arial"/>
      <family val="2"/>
    </font>
    <font>
      <i/>
      <sz val="10"/>
      <color rgb="FF161BF6"/>
      <name val="Arial"/>
      <family val="2"/>
    </font>
    <font>
      <u/>
      <sz val="10"/>
      <color indexed="12"/>
      <name val="Arial"/>
      <family val="2"/>
    </font>
    <font>
      <i/>
      <sz val="9"/>
      <color theme="0" tint="-0.34998626667073579"/>
      <name val="Arial"/>
      <family val="2"/>
    </font>
    <font>
      <i/>
      <sz val="9"/>
      <color theme="0" tint="-0.249977111117893"/>
      <name val="Arial"/>
      <family val="2"/>
    </font>
    <font>
      <i/>
      <sz val="9"/>
      <color rgb="FF143AF8"/>
      <name val="Arial"/>
      <family val="2"/>
    </font>
    <font>
      <i/>
      <sz val="10"/>
      <color theme="0" tint="-0.249977111117893"/>
      <name val="Arial"/>
      <family val="2"/>
    </font>
    <font>
      <sz val="10"/>
      <name val="Times New Roman"/>
      <family val="1"/>
    </font>
    <font>
      <i/>
      <sz val="10"/>
      <color rgb="FF143AF8"/>
      <name val="Arial"/>
      <family val="2"/>
    </font>
    <font>
      <sz val="10"/>
      <color theme="0" tint="-0.499984740745262"/>
      <name val="Arial"/>
      <family val="2"/>
    </font>
    <font>
      <sz val="10"/>
      <color rgb="FF143AF8"/>
      <name val="Arial"/>
      <family val="2"/>
    </font>
    <font>
      <i/>
      <sz val="9"/>
      <color indexed="12"/>
      <name val="Arial"/>
      <family val="2"/>
    </font>
    <font>
      <b/>
      <sz val="10"/>
      <color indexed="12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color theme="3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b/>
      <sz val="10"/>
      <color theme="3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rgb="FF161BF6"/>
      <name val="Arial"/>
      <family val="2"/>
    </font>
    <font>
      <u val="singleAccounting"/>
      <sz val="10"/>
      <name val="Arial"/>
      <family val="2"/>
    </font>
    <font>
      <sz val="8"/>
      <color rgb="FFFF0000"/>
      <name val="Arial"/>
      <family val="2"/>
    </font>
    <font>
      <b/>
      <i/>
      <sz val="11"/>
      <color rgb="FFC00000"/>
      <name val="Arial"/>
      <family val="2"/>
    </font>
    <font>
      <b/>
      <sz val="10"/>
      <color rgb="FF143AF8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10"/>
      <color rgb="FF4A4A4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i/>
      <sz val="8"/>
      <color theme="0" tint="-0.249977111117893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color rgb="FFC00000"/>
      <name val="Arial"/>
      <family val="2"/>
    </font>
    <font>
      <b/>
      <i/>
      <sz val="12"/>
      <color rgb="FFC00000"/>
      <name val="Arial"/>
      <family val="2"/>
    </font>
    <font>
      <sz val="10"/>
      <color rgb="FF4A4A49"/>
      <name val="Inherit"/>
    </font>
    <font>
      <b/>
      <i/>
      <sz val="10"/>
      <color theme="0"/>
      <name val="Arial"/>
      <family val="2"/>
    </font>
    <font>
      <b/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EC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2" borderId="1" xfId="0" applyFill="1" applyBorder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1" fillId="2" borderId="0" xfId="0" applyFont="1" applyFill="1"/>
    <xf numFmtId="0" fontId="6" fillId="2" borderId="0" xfId="0" applyFont="1" applyFill="1" applyAlignment="1">
      <alignment horizontal="left"/>
    </xf>
    <xf numFmtId="0" fontId="4" fillId="2" borderId="0" xfId="0" applyFont="1" applyFill="1"/>
    <xf numFmtId="0" fontId="7" fillId="2" borderId="0" xfId="0" applyFont="1" applyFill="1"/>
    <xf numFmtId="0" fontId="4" fillId="2" borderId="0" xfId="0" quotePrefix="1" applyFont="1" applyFill="1"/>
    <xf numFmtId="39" fontId="1" fillId="2" borderId="0" xfId="0" quotePrefix="1" applyNumberFormat="1" applyFont="1" applyFill="1"/>
    <xf numFmtId="0" fontId="7" fillId="2" borderId="0" xfId="0" applyFont="1" applyFill="1" applyAlignment="1">
      <alignment horizontal="left"/>
    </xf>
    <xf numFmtId="0" fontId="1" fillId="2" borderId="1" xfId="0" applyFont="1" applyFill="1" applyBorder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7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7" fillId="2" borderId="1" xfId="0" quotePrefix="1" applyFont="1" applyFill="1" applyBorder="1"/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7" fontId="0" fillId="2" borderId="1" xfId="0" applyNumberFormat="1" applyFill="1" applyBorder="1"/>
    <xf numFmtId="10" fontId="3" fillId="2" borderId="1" xfId="3" applyNumberFormat="1" applyFont="1" applyFill="1" applyBorder="1"/>
    <xf numFmtId="165" fontId="3" fillId="2" borderId="0" xfId="3" quotePrefix="1" applyNumberFormat="1" applyFont="1" applyFill="1" applyBorder="1"/>
    <xf numFmtId="9" fontId="1" fillId="2" borderId="0" xfId="3" quotePrefix="1" applyFont="1" applyFill="1" applyBorder="1"/>
    <xf numFmtId="9" fontId="11" fillId="2" borderId="0" xfId="3" quotePrefix="1" applyFont="1" applyFill="1" applyBorder="1"/>
    <xf numFmtId="9" fontId="3" fillId="2" borderId="0" xfId="3" quotePrefix="1" applyFont="1" applyFill="1" applyBorder="1"/>
    <xf numFmtId="17" fontId="0" fillId="2" borderId="0" xfId="0" applyNumberFormat="1" applyFill="1"/>
    <xf numFmtId="9" fontId="7" fillId="2" borderId="0" xfId="3" applyFont="1" applyFill="1" applyBorder="1"/>
    <xf numFmtId="9" fontId="3" fillId="2" borderId="0" xfId="3" applyFont="1" applyFill="1" applyBorder="1"/>
    <xf numFmtId="10" fontId="12" fillId="2" borderId="1" xfId="3" applyNumberFormat="1" applyFont="1" applyFill="1" applyBorder="1"/>
    <xf numFmtId="10" fontId="12" fillId="2" borderId="1" xfId="3" quotePrefix="1" applyNumberFormat="1" applyFont="1" applyFill="1" applyBorder="1"/>
    <xf numFmtId="1" fontId="3" fillId="2" borderId="0" xfId="3" quotePrefix="1" applyNumberFormat="1" applyFont="1" applyFill="1" applyBorder="1"/>
    <xf numFmtId="17" fontId="13" fillId="2" borderId="0" xfId="0" applyNumberFormat="1" applyFont="1" applyFill="1" applyAlignment="1">
      <alignment horizontal="left" wrapText="1"/>
    </xf>
    <xf numFmtId="17" fontId="4" fillId="2" borderId="0" xfId="0" applyNumberFormat="1" applyFont="1" applyFill="1"/>
    <xf numFmtId="0" fontId="15" fillId="2" borderId="0" xfId="4" applyFill="1" applyBorder="1" applyAlignment="1" applyProtection="1"/>
    <xf numFmtId="0" fontId="0" fillId="2" borderId="0" xfId="0" applyFill="1" applyAlignment="1">
      <alignment horizontal="center"/>
    </xf>
    <xf numFmtId="3" fontId="0" fillId="2" borderId="0" xfId="0" applyNumberFormat="1" applyFill="1"/>
    <xf numFmtId="38" fontId="3" fillId="2" borderId="1" xfId="0" applyNumberFormat="1" applyFont="1" applyFill="1" applyBorder="1" applyAlignment="1">
      <alignment horizontal="right"/>
    </xf>
    <xf numFmtId="9" fontId="0" fillId="2" borderId="0" xfId="3" applyFont="1" applyFill="1" applyBorder="1" applyAlignment="1"/>
    <xf numFmtId="166" fontId="3" fillId="2" borderId="0" xfId="1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quotePrefix="1" applyFont="1" applyFill="1"/>
    <xf numFmtId="3" fontId="3" fillId="2" borderId="0" xfId="0" applyNumberFormat="1" applyFont="1" applyFill="1"/>
    <xf numFmtId="9" fontId="0" fillId="2" borderId="0" xfId="0" applyNumberFormat="1" applyFill="1"/>
    <xf numFmtId="3" fontId="12" fillId="2" borderId="0" xfId="0" applyNumberFormat="1" applyFont="1" applyFill="1"/>
    <xf numFmtId="17" fontId="16" fillId="2" borderId="0" xfId="0" applyNumberFormat="1" applyFont="1" applyFill="1"/>
    <xf numFmtId="166" fontId="17" fillId="2" borderId="0" xfId="1" applyNumberFormat="1" applyFont="1" applyFill="1" applyBorder="1"/>
    <xf numFmtId="3" fontId="17" fillId="2" borderId="0" xfId="0" applyNumberFormat="1" applyFont="1" applyFill="1"/>
    <xf numFmtId="9" fontId="16" fillId="2" borderId="0" xfId="3" quotePrefix="1" applyFont="1" applyFill="1" applyBorder="1"/>
    <xf numFmtId="0" fontId="16" fillId="2" borderId="0" xfId="0" applyFont="1" applyFill="1"/>
    <xf numFmtId="10" fontId="16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3" fontId="16" fillId="2" borderId="0" xfId="0" applyNumberFormat="1" applyFont="1" applyFill="1"/>
    <xf numFmtId="10" fontId="0" fillId="2" borderId="0" xfId="0" applyNumberFormat="1" applyFill="1"/>
    <xf numFmtId="17" fontId="18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44" fontId="1" fillId="2" borderId="0" xfId="2" quotePrefix="1" applyFont="1" applyFill="1" applyBorder="1"/>
    <xf numFmtId="10" fontId="3" fillId="2" borderId="1" xfId="0" applyNumberFormat="1" applyFont="1" applyFill="1" applyBorder="1"/>
    <xf numFmtId="0" fontId="19" fillId="2" borderId="0" xfId="0" applyFont="1" applyFill="1"/>
    <xf numFmtId="0" fontId="14" fillId="2" borderId="0" xfId="0" applyFont="1" applyFill="1"/>
    <xf numFmtId="0" fontId="18" fillId="2" borderId="0" xfId="0" applyFont="1" applyFill="1"/>
    <xf numFmtId="3" fontId="0" fillId="2" borderId="0" xfId="0" quotePrefix="1" applyNumberFormat="1" applyFill="1"/>
    <xf numFmtId="0" fontId="20" fillId="2" borderId="1" xfId="5" applyFont="1" applyFill="1" applyBorder="1" applyAlignment="1">
      <alignment vertical="center"/>
    </xf>
    <xf numFmtId="167" fontId="12" fillId="2" borderId="1" xfId="0" applyNumberFormat="1" applyFont="1" applyFill="1" applyBorder="1"/>
    <xf numFmtId="44" fontId="0" fillId="2" borderId="0" xfId="2" applyFont="1" applyFill="1" applyBorder="1"/>
    <xf numFmtId="167" fontId="1" fillId="2" borderId="0" xfId="0" applyNumberFormat="1" applyFont="1" applyFill="1"/>
    <xf numFmtId="168" fontId="1" fillId="2" borderId="0" xfId="0" applyNumberFormat="1" applyFont="1" applyFill="1"/>
    <xf numFmtId="9" fontId="1" fillId="2" borderId="0" xfId="3" applyFont="1" applyFill="1" applyBorder="1"/>
    <xf numFmtId="44" fontId="1" fillId="2" borderId="0" xfId="2" applyFont="1" applyFill="1" applyBorder="1"/>
    <xf numFmtId="167" fontId="0" fillId="2" borderId="0" xfId="0" applyNumberFormat="1" applyFill="1"/>
    <xf numFmtId="9" fontId="0" fillId="2" borderId="0" xfId="3" applyFont="1" applyFill="1" applyBorder="1"/>
    <xf numFmtId="4" fontId="3" fillId="2" borderId="0" xfId="0" applyNumberFormat="1" applyFont="1" applyFill="1"/>
    <xf numFmtId="169" fontId="3" fillId="2" borderId="0" xfId="0" applyNumberFormat="1" applyFont="1" applyFill="1"/>
    <xf numFmtId="170" fontId="0" fillId="2" borderId="0" xfId="0" applyNumberFormat="1" applyFill="1"/>
    <xf numFmtId="169" fontId="3" fillId="2" borderId="1" xfId="3" applyNumberFormat="1" applyFont="1" applyFill="1" applyBorder="1"/>
    <xf numFmtId="169" fontId="1" fillId="2" borderId="0" xfId="0" applyNumberFormat="1" applyFont="1" applyFill="1"/>
    <xf numFmtId="171" fontId="0" fillId="2" borderId="0" xfId="0" applyNumberFormat="1" applyFill="1"/>
    <xf numFmtId="169" fontId="12" fillId="2" borderId="1" xfId="3" applyNumberFormat="1" applyFont="1" applyFill="1" applyBorder="1"/>
    <xf numFmtId="170" fontId="0" fillId="2" borderId="0" xfId="0" quotePrefix="1" applyNumberFormat="1" applyFill="1"/>
    <xf numFmtId="172" fontId="4" fillId="2" borderId="0" xfId="0" applyNumberFormat="1" applyFont="1" applyFill="1"/>
    <xf numFmtId="0" fontId="0" fillId="2" borderId="1" xfId="0" applyFill="1" applyBorder="1" applyAlignment="1">
      <alignment horizontal="right"/>
    </xf>
    <xf numFmtId="172" fontId="3" fillId="2" borderId="1" xfId="0" applyNumberFormat="1" applyFont="1" applyFill="1" applyBorder="1"/>
    <xf numFmtId="4" fontId="0" fillId="2" borderId="0" xfId="0" applyNumberFormat="1" applyFill="1"/>
    <xf numFmtId="172" fontId="22" fillId="2" borderId="1" xfId="0" applyNumberFormat="1" applyFont="1" applyFill="1" applyBorder="1"/>
    <xf numFmtId="172" fontId="1" fillId="2" borderId="0" xfId="0" applyNumberFormat="1" applyFont="1" applyFill="1"/>
    <xf numFmtId="172" fontId="0" fillId="2" borderId="0" xfId="0" applyNumberFormat="1" applyFill="1"/>
    <xf numFmtId="172" fontId="24" fillId="2" borderId="0" xfId="0" applyNumberFormat="1" applyFont="1" applyFill="1"/>
    <xf numFmtId="172" fontId="3" fillId="2" borderId="0" xfId="0" applyNumberFormat="1" applyFont="1" applyFill="1"/>
    <xf numFmtId="173" fontId="3" fillId="2" borderId="1" xfId="0" applyNumberFormat="1" applyFont="1" applyFill="1" applyBorder="1"/>
    <xf numFmtId="0" fontId="0" fillId="2" borderId="0" xfId="0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174" fontId="25" fillId="2" borderId="0" xfId="0" applyNumberFormat="1" applyFont="1" applyFill="1" applyAlignment="1">
      <alignment horizontal="left"/>
    </xf>
    <xf numFmtId="0" fontId="3" fillId="2" borderId="0" xfId="0" applyFont="1" applyFill="1"/>
    <xf numFmtId="175" fontId="3" fillId="2" borderId="0" xfId="0" applyNumberFormat="1" applyFont="1" applyFill="1"/>
    <xf numFmtId="175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2" borderId="0" xfId="0" quotePrefix="1" applyFont="1" applyFill="1" applyAlignment="1">
      <alignment horizontal="right"/>
    </xf>
    <xf numFmtId="172" fontId="1" fillId="2" borderId="0" xfId="0" applyNumberFormat="1" applyFont="1" applyFill="1" applyAlignment="1">
      <alignment horizontal="right"/>
    </xf>
    <xf numFmtId="0" fontId="1" fillId="2" borderId="1" xfId="0" quotePrefix="1" applyFont="1" applyFill="1" applyBorder="1"/>
    <xf numFmtId="0" fontId="13" fillId="2" borderId="0" xfId="0" applyFont="1" applyFill="1"/>
    <xf numFmtId="0" fontId="10" fillId="2" borderId="0" xfId="0" applyFont="1" applyFill="1"/>
    <xf numFmtId="0" fontId="1" fillId="2" borderId="1" xfId="0" applyFont="1" applyFill="1" applyBorder="1" applyAlignment="1">
      <alignment horizontal="right"/>
    </xf>
    <xf numFmtId="0" fontId="7" fillId="2" borderId="0" xfId="0" quotePrefix="1" applyFont="1" applyFill="1"/>
    <xf numFmtId="175" fontId="12" fillId="2" borderId="1" xfId="1" applyNumberFormat="1" applyFont="1" applyFill="1" applyBorder="1" applyAlignment="1">
      <alignment horizontal="right"/>
    </xf>
    <xf numFmtId="0" fontId="0" fillId="2" borderId="0" xfId="0" quotePrefix="1" applyFill="1"/>
    <xf numFmtId="176" fontId="3" fillId="2" borderId="0" xfId="2" applyNumberFormat="1" applyFont="1" applyFill="1" applyBorder="1"/>
    <xf numFmtId="44" fontId="0" fillId="2" borderId="0" xfId="2" quotePrefix="1" applyFont="1" applyFill="1" applyBorder="1"/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4" fontId="1" fillId="2" borderId="1" xfId="2" applyFont="1" applyFill="1" applyBorder="1"/>
    <xf numFmtId="44" fontId="4" fillId="2" borderId="0" xfId="2" quotePrefix="1" applyFont="1" applyFill="1" applyBorder="1"/>
    <xf numFmtId="44" fontId="3" fillId="2" borderId="5" xfId="2" applyFont="1" applyFill="1" applyBorder="1"/>
    <xf numFmtId="44" fontId="0" fillId="2" borderId="0" xfId="2" quotePrefix="1" applyFont="1" applyFill="1" applyBorder="1" applyAlignment="1">
      <alignment horizontal="right"/>
    </xf>
    <xf numFmtId="44" fontId="3" fillId="2" borderId="1" xfId="2" applyFont="1" applyFill="1" applyBorder="1"/>
    <xf numFmtId="0" fontId="3" fillId="2" borderId="1" xfId="2" applyNumberFormat="1" applyFont="1" applyFill="1" applyBorder="1"/>
    <xf numFmtId="10" fontId="3" fillId="2" borderId="5" xfId="3" applyNumberFormat="1" applyFont="1" applyFill="1" applyBorder="1"/>
    <xf numFmtId="0" fontId="3" fillId="2" borderId="1" xfId="2" applyNumberFormat="1" applyFont="1" applyFill="1" applyBorder="1" applyAlignment="1">
      <alignment horizontal="right"/>
    </xf>
    <xf numFmtId="44" fontId="0" fillId="2" borderId="0" xfId="0" applyNumberFormat="1" applyFill="1"/>
    <xf numFmtId="9" fontId="0" fillId="2" borderId="1" xfId="3" applyFont="1" applyFill="1" applyBorder="1"/>
    <xf numFmtId="167" fontId="3" fillId="2" borderId="1" xfId="2" applyNumberFormat="1" applyFont="1" applyFill="1" applyBorder="1"/>
    <xf numFmtId="0" fontId="26" fillId="2" borderId="0" xfId="0" applyFont="1" applyFill="1"/>
    <xf numFmtId="44" fontId="27" fillId="2" borderId="0" xfId="2" quotePrefix="1" applyFont="1" applyFill="1" applyBorder="1" applyAlignment="1">
      <alignment horizontal="right"/>
    </xf>
    <xf numFmtId="44" fontId="27" fillId="2" borderId="0" xfId="2" applyFont="1" applyFill="1" applyBorder="1"/>
    <xf numFmtId="0" fontId="27" fillId="2" borderId="0" xfId="0" applyFont="1" applyFill="1"/>
    <xf numFmtId="0" fontId="27" fillId="2" borderId="0" xfId="0" applyFont="1" applyFill="1" applyAlignment="1">
      <alignment horizontal="right"/>
    </xf>
    <xf numFmtId="44" fontId="28" fillId="2" borderId="0" xfId="2" quotePrefix="1" applyFont="1" applyFill="1" applyBorder="1" applyAlignment="1">
      <alignment horizontal="right"/>
    </xf>
    <xf numFmtId="44" fontId="28" fillId="2" borderId="0" xfId="2" applyFont="1" applyFill="1" applyBorder="1"/>
    <xf numFmtId="0" fontId="28" fillId="2" borderId="0" xfId="0" applyFont="1" applyFill="1"/>
    <xf numFmtId="0" fontId="29" fillId="2" borderId="0" xfId="0" applyFont="1" applyFill="1"/>
    <xf numFmtId="44" fontId="30" fillId="2" borderId="0" xfId="2" quotePrefix="1" applyFont="1" applyFill="1" applyBorder="1" applyAlignment="1">
      <alignment horizontal="right"/>
    </xf>
    <xf numFmtId="44" fontId="30" fillId="2" borderId="0" xfId="2" applyFont="1" applyFill="1" applyBorder="1"/>
    <xf numFmtId="0" fontId="30" fillId="2" borderId="0" xfId="0" applyFont="1" applyFill="1"/>
    <xf numFmtId="17" fontId="27" fillId="2" borderId="0" xfId="0" applyNumberFormat="1" applyFont="1" applyFill="1"/>
    <xf numFmtId="166" fontId="30" fillId="2" borderId="0" xfId="1" applyNumberFormat="1" applyFont="1" applyFill="1" applyBorder="1"/>
    <xf numFmtId="44" fontId="1" fillId="2" borderId="0" xfId="2" quotePrefix="1" applyFont="1" applyFill="1" applyBorder="1" applyAlignment="1">
      <alignment horizontal="right"/>
    </xf>
    <xf numFmtId="17" fontId="27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right"/>
    </xf>
    <xf numFmtId="166" fontId="30" fillId="2" borderId="0" xfId="1" quotePrefix="1" applyNumberFormat="1" applyFont="1" applyFill="1" applyBorder="1"/>
    <xf numFmtId="44" fontId="29" fillId="2" borderId="0" xfId="2" quotePrefix="1" applyFont="1" applyFill="1" applyBorder="1"/>
    <xf numFmtId="44" fontId="30" fillId="2" borderId="0" xfId="2" quotePrefix="1" applyFont="1" applyFill="1" applyBorder="1"/>
    <xf numFmtId="0" fontId="31" fillId="0" borderId="0" xfId="0" applyFont="1"/>
    <xf numFmtId="0" fontId="30" fillId="0" borderId="0" xfId="0" applyFont="1" applyAlignment="1">
      <alignment horizontal="right"/>
    </xf>
    <xf numFmtId="44" fontId="30" fillId="0" borderId="0" xfId="2" quotePrefix="1" applyFont="1" applyFill="1" applyBorder="1"/>
    <xf numFmtId="166" fontId="30" fillId="0" borderId="0" xfId="1" quotePrefix="1" applyNumberFormat="1" applyFont="1" applyFill="1" applyBorder="1"/>
    <xf numFmtId="44" fontId="29" fillId="0" borderId="0" xfId="2" quotePrefix="1" applyFont="1" applyFill="1" applyBorder="1"/>
    <xf numFmtId="44" fontId="1" fillId="0" borderId="0" xfId="2" quotePrefix="1" applyFont="1" applyFill="1" applyBorder="1"/>
    <xf numFmtId="0" fontId="26" fillId="0" borderId="0" xfId="0" applyFont="1"/>
    <xf numFmtId="44" fontId="30" fillId="0" borderId="0" xfId="2" quotePrefix="1" applyFont="1" applyFill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4" fontId="30" fillId="0" borderId="0" xfId="2" applyFont="1" applyFill="1" applyBorder="1" applyAlignment="1">
      <alignment horizontal="right"/>
    </xf>
    <xf numFmtId="0" fontId="0" fillId="0" borderId="0" xfId="0" applyAlignment="1">
      <alignment horizontal="right"/>
    </xf>
    <xf numFmtId="177" fontId="1" fillId="0" borderId="0" xfId="2" applyNumberFormat="1" applyFont="1" applyFill="1" applyBorder="1"/>
    <xf numFmtId="0" fontId="0" fillId="0" borderId="0" xfId="0" quotePrefix="1"/>
    <xf numFmtId="43" fontId="0" fillId="0" borderId="0" xfId="0" applyNumberFormat="1"/>
    <xf numFmtId="17" fontId="0" fillId="0" borderId="0" xfId="0" applyNumberFormat="1"/>
    <xf numFmtId="0" fontId="1" fillId="0" borderId="0" xfId="0" applyFont="1" applyAlignment="1">
      <alignment horizontal="left"/>
    </xf>
    <xf numFmtId="44" fontId="0" fillId="0" borderId="0" xfId="2" applyFont="1" applyFill="1" applyBorder="1"/>
    <xf numFmtId="166" fontId="0" fillId="0" borderId="0" xfId="1" applyNumberFormat="1" applyFont="1" applyFill="1" applyBorder="1"/>
    <xf numFmtId="17" fontId="0" fillId="0" borderId="0" xfId="0" applyNumberFormat="1" applyAlignment="1">
      <alignment horizontal="right"/>
    </xf>
    <xf numFmtId="166" fontId="4" fillId="0" borderId="0" xfId="1" applyNumberFormat="1" applyFont="1" applyFill="1" applyBorder="1"/>
    <xf numFmtId="44" fontId="4" fillId="0" borderId="0" xfId="2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0" fontId="29" fillId="0" borderId="0" xfId="0" applyFont="1"/>
    <xf numFmtId="0" fontId="33" fillId="0" borderId="0" xfId="0" applyFont="1"/>
    <xf numFmtId="177" fontId="0" fillId="0" borderId="0" xfId="0" applyNumberFormat="1"/>
    <xf numFmtId="44" fontId="1" fillId="0" borderId="0" xfId="2" quotePrefix="1" applyFont="1" applyFill="1" applyBorder="1" applyAlignment="1">
      <alignment horizontal="left"/>
    </xf>
    <xf numFmtId="17" fontId="32" fillId="0" borderId="0" xfId="0" applyNumberFormat="1" applyFont="1" applyAlignment="1">
      <alignment horizontal="left"/>
    </xf>
    <xf numFmtId="176" fontId="1" fillId="0" borderId="0" xfId="2" quotePrefix="1" applyNumberFormat="1" applyFont="1" applyFill="1" applyBorder="1"/>
    <xf numFmtId="176" fontId="0" fillId="0" borderId="0" xfId="0" applyNumberFormat="1"/>
    <xf numFmtId="176" fontId="0" fillId="0" borderId="0" xfId="2" applyNumberFormat="1" applyFont="1" applyFill="1" applyBorder="1"/>
    <xf numFmtId="44" fontId="0" fillId="0" borderId="0" xfId="2" quotePrefix="1" applyFont="1" applyFill="1" applyBorder="1"/>
    <xf numFmtId="178" fontId="4" fillId="0" borderId="0" xfId="1" quotePrefix="1" applyNumberFormat="1" applyFont="1" applyFill="1" applyBorder="1"/>
    <xf numFmtId="178" fontId="1" fillId="0" borderId="0" xfId="1" quotePrefix="1" applyNumberFormat="1" applyFont="1" applyFill="1" applyBorder="1"/>
    <xf numFmtId="43" fontId="1" fillId="0" borderId="0" xfId="1" quotePrefix="1" applyFont="1" applyFill="1" applyBorder="1"/>
    <xf numFmtId="0" fontId="1" fillId="0" borderId="0" xfId="0" applyFont="1"/>
    <xf numFmtId="43" fontId="1" fillId="0" borderId="0" xfId="1" applyFont="1" applyFill="1" applyBorder="1" applyAlignment="1">
      <alignment horizontal="right"/>
    </xf>
    <xf numFmtId="178" fontId="0" fillId="0" borderId="0" xfId="0" applyNumberFormat="1"/>
    <xf numFmtId="178" fontId="4" fillId="0" borderId="0" xfId="0" applyNumberFormat="1" applyFont="1"/>
    <xf numFmtId="0" fontId="4" fillId="0" borderId="0" xfId="0" applyFont="1" applyAlignment="1">
      <alignment horizontal="right"/>
    </xf>
    <xf numFmtId="43" fontId="4" fillId="0" borderId="0" xfId="1" quotePrefix="1" applyFont="1" applyFill="1" applyBorder="1"/>
    <xf numFmtId="179" fontId="4" fillId="0" borderId="0" xfId="2" quotePrefix="1" applyNumberFormat="1" applyFont="1" applyFill="1" applyBorder="1"/>
    <xf numFmtId="177" fontId="1" fillId="0" borderId="0" xfId="2" quotePrefix="1" applyNumberFormat="1" applyFont="1" applyFill="1" applyBorder="1"/>
    <xf numFmtId="0" fontId="4" fillId="0" borderId="0" xfId="0" applyFont="1" applyAlignment="1">
      <alignment horizontal="center" wrapText="1"/>
    </xf>
    <xf numFmtId="44" fontId="0" fillId="0" borderId="0" xfId="0" applyNumberFormat="1"/>
    <xf numFmtId="0" fontId="0" fillId="0" borderId="0" xfId="0" applyAlignment="1">
      <alignment horizontal="left"/>
    </xf>
    <xf numFmtId="176" fontId="3" fillId="0" borderId="0" xfId="2" applyNumberFormat="1" applyFont="1" applyFill="1" applyBorder="1"/>
    <xf numFmtId="44" fontId="1" fillId="0" borderId="0" xfId="0" applyNumberFormat="1" applyFont="1"/>
    <xf numFmtId="0" fontId="0" fillId="0" borderId="0" xfId="0" applyAlignment="1">
      <alignment horizontal="center"/>
    </xf>
    <xf numFmtId="9" fontId="0" fillId="0" borderId="0" xfId="3" applyFont="1" applyFill="1" applyBorder="1"/>
    <xf numFmtId="176" fontId="1" fillId="0" borderId="0" xfId="2" applyNumberFormat="1" applyFont="1" applyFill="1" applyBorder="1"/>
    <xf numFmtId="0" fontId="7" fillId="0" borderId="0" xfId="0" applyFont="1" applyAlignment="1">
      <alignment horizontal="right"/>
    </xf>
    <xf numFmtId="167" fontId="0" fillId="0" borderId="0" xfId="0" applyNumberFormat="1"/>
    <xf numFmtId="180" fontId="4" fillId="0" borderId="0" xfId="1" applyNumberFormat="1" applyFont="1" applyFill="1" applyBorder="1"/>
    <xf numFmtId="176" fontId="0" fillId="0" borderId="0" xfId="3" applyNumberFormat="1" applyFont="1" applyFill="1" applyBorder="1"/>
    <xf numFmtId="43" fontId="7" fillId="0" borderId="0" xfId="1" applyFont="1" applyFill="1" applyBorder="1"/>
    <xf numFmtId="176" fontId="0" fillId="0" borderId="0" xfId="2" quotePrefix="1" applyNumberFormat="1" applyFont="1" applyFill="1" applyBorder="1"/>
    <xf numFmtId="180" fontId="1" fillId="0" borderId="0" xfId="1" quotePrefix="1" applyNumberFormat="1" applyFont="1" applyFill="1" applyBorder="1"/>
    <xf numFmtId="176" fontId="0" fillId="2" borderId="0" xfId="0" applyNumberFormat="1" applyFill="1"/>
    <xf numFmtId="43" fontId="1" fillId="2" borderId="0" xfId="1" quotePrefix="1" applyFont="1" applyFill="1" applyBorder="1"/>
    <xf numFmtId="0" fontId="4" fillId="2" borderId="0" xfId="0" applyFont="1" applyFill="1" applyAlignment="1">
      <alignment horizontal="left"/>
    </xf>
    <xf numFmtId="3" fontId="32" fillId="2" borderId="0" xfId="0" applyNumberFormat="1" applyFont="1" applyFill="1"/>
    <xf numFmtId="0" fontId="0" fillId="2" borderId="0" xfId="0" applyFill="1" applyAlignment="1">
      <alignment horizontal="center" wrapText="1"/>
    </xf>
    <xf numFmtId="44" fontId="1" fillId="2" borderId="0" xfId="0" applyNumberFormat="1" applyFont="1" applyFill="1"/>
    <xf numFmtId="172" fontId="0" fillId="2" borderId="0" xfId="0" applyNumberFormat="1" applyFill="1" applyAlignment="1">
      <alignment horizontal="right"/>
    </xf>
    <xf numFmtId="177" fontId="0" fillId="2" borderId="0" xfId="0" applyNumberFormat="1" applyFill="1"/>
    <xf numFmtId="43" fontId="0" fillId="2" borderId="0" xfId="0" applyNumberFormat="1" applyFill="1"/>
    <xf numFmtId="0" fontId="34" fillId="2" borderId="0" xfId="0" applyFont="1" applyFill="1"/>
    <xf numFmtId="181" fontId="3" fillId="2" borderId="0" xfId="0" applyNumberFormat="1" applyFont="1" applyFill="1"/>
    <xf numFmtId="6" fontId="3" fillId="2" borderId="0" xfId="0" applyNumberFormat="1" applyFont="1" applyFill="1"/>
    <xf numFmtId="6" fontId="0" fillId="2" borderId="0" xfId="0" applyNumberFormat="1" applyFill="1"/>
    <xf numFmtId="8" fontId="0" fillId="2" borderId="0" xfId="0" applyNumberFormat="1" applyFill="1"/>
    <xf numFmtId="181" fontId="0" fillId="2" borderId="0" xfId="0" applyNumberFormat="1" applyFill="1"/>
    <xf numFmtId="175" fontId="0" fillId="2" borderId="0" xfId="0" applyNumberFormat="1" applyFill="1"/>
    <xf numFmtId="10" fontId="3" fillId="2" borderId="0" xfId="3" applyNumberFormat="1" applyFont="1" applyFill="1"/>
    <xf numFmtId="165" fontId="3" fillId="2" borderId="0" xfId="3" quotePrefix="1" applyNumberFormat="1" applyFont="1" applyFill="1"/>
    <xf numFmtId="9" fontId="3" fillId="2" borderId="0" xfId="3" quotePrefix="1" applyFont="1" applyFill="1"/>
    <xf numFmtId="9" fontId="1" fillId="2" borderId="0" xfId="3" quotePrefix="1" applyFont="1" applyFill="1"/>
    <xf numFmtId="9" fontId="7" fillId="2" borderId="0" xfId="3" applyFont="1" applyFill="1"/>
    <xf numFmtId="9" fontId="3" fillId="2" borderId="0" xfId="3" applyFont="1" applyFill="1"/>
    <xf numFmtId="9" fontId="3" fillId="2" borderId="0" xfId="3" quotePrefix="1" applyFont="1" applyFill="1" applyAlignment="1">
      <alignment horizontal="center"/>
    </xf>
    <xf numFmtId="1" fontId="3" fillId="2" borderId="0" xfId="3" quotePrefix="1" applyNumberFormat="1" applyFont="1" applyFill="1"/>
    <xf numFmtId="17" fontId="7" fillId="2" borderId="0" xfId="0" applyNumberFormat="1" applyFont="1" applyFill="1"/>
    <xf numFmtId="0" fontId="15" fillId="2" borderId="0" xfId="4" applyFill="1" applyAlignment="1" applyProtection="1"/>
    <xf numFmtId="0" fontId="1" fillId="2" borderId="0" xfId="0" applyFont="1" applyFill="1" applyAlignment="1">
      <alignment horizontal="center"/>
    </xf>
    <xf numFmtId="38" fontId="3" fillId="2" borderId="0" xfId="0" applyNumberFormat="1" applyFont="1" applyFill="1" applyAlignment="1">
      <alignment horizontal="right"/>
    </xf>
    <xf numFmtId="166" fontId="1" fillId="2" borderId="0" xfId="1" applyNumberFormat="1" applyFont="1" applyFill="1"/>
    <xf numFmtId="165" fontId="0" fillId="2" borderId="0" xfId="0" applyNumberFormat="1" applyFill="1"/>
    <xf numFmtId="9" fontId="0" fillId="2" borderId="0" xfId="3" applyFont="1" applyFill="1" applyAlignment="1"/>
    <xf numFmtId="166" fontId="3" fillId="2" borderId="0" xfId="1" applyNumberFormat="1" applyFont="1" applyFill="1" applyAlignment="1">
      <alignment horizontal="center"/>
    </xf>
    <xf numFmtId="165" fontId="3" fillId="2" borderId="0" xfId="3" applyNumberFormat="1" applyFont="1" applyFill="1"/>
    <xf numFmtId="165" fontId="3" fillId="2" borderId="0" xfId="0" applyNumberFormat="1" applyFont="1" applyFill="1"/>
    <xf numFmtId="17" fontId="0" fillId="2" borderId="0" xfId="0" applyNumberFormat="1" applyFill="1" applyAlignment="1">
      <alignment horizontal="center"/>
    </xf>
    <xf numFmtId="9" fontId="0" fillId="2" borderId="0" xfId="3" applyFont="1" applyFill="1"/>
    <xf numFmtId="0" fontId="2" fillId="2" borderId="0" xfId="0" applyFont="1" applyFill="1" applyAlignment="1">
      <alignment horizontal="center"/>
    </xf>
    <xf numFmtId="40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/>
    <xf numFmtId="9" fontId="1" fillId="2" borderId="0" xfId="3" applyFont="1" applyFill="1"/>
    <xf numFmtId="0" fontId="37" fillId="2" borderId="0" xfId="0" applyFont="1" applyFill="1" applyAlignment="1">
      <alignment horizontal="left"/>
    </xf>
    <xf numFmtId="0" fontId="20" fillId="0" borderId="0" xfId="0" applyFont="1" applyAlignment="1">
      <alignment vertical="center"/>
    </xf>
    <xf numFmtId="167" fontId="3" fillId="2" borderId="6" xfId="0" applyNumberFormat="1" applyFont="1" applyFill="1" applyBorder="1"/>
    <xf numFmtId="9" fontId="3" fillId="2" borderId="6" xfId="3" applyFont="1" applyFill="1" applyBorder="1"/>
    <xf numFmtId="167" fontId="0" fillId="2" borderId="7" xfId="0" applyNumberFormat="1" applyFill="1" applyBorder="1"/>
    <xf numFmtId="9" fontId="0" fillId="2" borderId="7" xfId="3" applyFont="1" applyFill="1" applyBorder="1"/>
    <xf numFmtId="167" fontId="0" fillId="2" borderId="8" xfId="0" applyNumberFormat="1" applyFill="1" applyBorder="1"/>
    <xf numFmtId="9" fontId="0" fillId="2" borderId="8" xfId="3" applyFont="1" applyFill="1" applyBorder="1"/>
    <xf numFmtId="0" fontId="0" fillId="2" borderId="4" xfId="0" applyFill="1" applyBorder="1"/>
    <xf numFmtId="10" fontId="0" fillId="2" borderId="0" xfId="0" applyNumberFormat="1" applyFill="1" applyAlignment="1">
      <alignment horizontal="center"/>
    </xf>
    <xf numFmtId="169" fontId="3" fillId="2" borderId="9" xfId="3" applyNumberFormat="1" applyFont="1" applyFill="1" applyBorder="1"/>
    <xf numFmtId="182" fontId="1" fillId="2" borderId="0" xfId="3" applyNumberFormat="1" applyFont="1" applyFill="1"/>
    <xf numFmtId="171" fontId="34" fillId="2" borderId="0" xfId="0" applyNumberFormat="1" applyFont="1" applyFill="1"/>
    <xf numFmtId="169" fontId="12" fillId="2" borderId="0" xfId="3" applyNumberFormat="1" applyFont="1" applyFill="1"/>
    <xf numFmtId="44" fontId="1" fillId="2" borderId="0" xfId="2" quotePrefix="1" applyFont="1" applyFill="1"/>
    <xf numFmtId="17" fontId="0" fillId="2" borderId="0" xfId="0" applyNumberFormat="1" applyFill="1" applyAlignment="1">
      <alignment horizontal="right"/>
    </xf>
    <xf numFmtId="44" fontId="0" fillId="2" borderId="0" xfId="2" applyFont="1" applyFill="1"/>
    <xf numFmtId="44" fontId="1" fillId="2" borderId="0" xfId="2" applyFont="1" applyFill="1"/>
    <xf numFmtId="176" fontId="1" fillId="2" borderId="0" xfId="2" quotePrefix="1" applyNumberFormat="1" applyFont="1" applyFill="1"/>
    <xf numFmtId="176" fontId="1" fillId="2" borderId="0" xfId="2" applyNumberFormat="1" applyFont="1" applyFill="1"/>
    <xf numFmtId="39" fontId="0" fillId="2" borderId="0" xfId="0" applyNumberFormat="1" applyFill="1"/>
    <xf numFmtId="165" fontId="4" fillId="2" borderId="0" xfId="0" applyNumberFormat="1" applyFont="1" applyFill="1" applyAlignment="1">
      <alignment horizontal="center"/>
    </xf>
    <xf numFmtId="176" fontId="0" fillId="2" borderId="0" xfId="2" applyNumberFormat="1" applyFont="1" applyFill="1"/>
    <xf numFmtId="176" fontId="38" fillId="2" borderId="0" xfId="2" applyNumberFormat="1" applyFont="1" applyFill="1"/>
    <xf numFmtId="1" fontId="1" fillId="2" borderId="0" xfId="0" applyNumberFormat="1" applyFont="1" applyFill="1"/>
    <xf numFmtId="173" fontId="3" fillId="2" borderId="0" xfId="0" applyNumberFormat="1" applyFont="1" applyFill="1"/>
    <xf numFmtId="175" fontId="0" fillId="2" borderId="4" xfId="0" applyNumberFormat="1" applyFill="1" applyBorder="1"/>
    <xf numFmtId="0" fontId="0" fillId="2" borderId="0" xfId="0" quotePrefix="1" applyFill="1" applyAlignment="1">
      <alignment horizontal="right"/>
    </xf>
    <xf numFmtId="44" fontId="3" fillId="2" borderId="0" xfId="2" applyFont="1" applyFill="1"/>
    <xf numFmtId="175" fontId="1" fillId="2" borderId="0" xfId="2" applyNumberFormat="1" applyFont="1" applyFill="1"/>
    <xf numFmtId="0" fontId="1" fillId="2" borderId="0" xfId="0" quotePrefix="1" applyFont="1" applyFill="1" applyAlignment="1">
      <alignment horizontal="center"/>
    </xf>
    <xf numFmtId="172" fontId="1" fillId="2" borderId="0" xfId="0" quotePrefix="1" applyNumberFormat="1" applyFont="1" applyFill="1" applyAlignment="1">
      <alignment horizontal="center"/>
    </xf>
    <xf numFmtId="175" fontId="1" fillId="2" borderId="0" xfId="2" applyNumberFormat="1" applyFont="1" applyFill="1" applyAlignment="1">
      <alignment horizontal="center" wrapText="1"/>
    </xf>
    <xf numFmtId="183" fontId="0" fillId="2" borderId="0" xfId="0" applyNumberFormat="1" applyFill="1"/>
    <xf numFmtId="44" fontId="0" fillId="2" borderId="0" xfId="2" quotePrefix="1" applyFont="1" applyFill="1"/>
    <xf numFmtId="0" fontId="3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3" fontId="0" fillId="2" borderId="0" xfId="0" applyNumberFormat="1" applyFill="1" applyAlignment="1">
      <alignment horizontal="center"/>
    </xf>
    <xf numFmtId="176" fontId="3" fillId="2" borderId="0" xfId="2" applyNumberFormat="1" applyFont="1" applyFill="1"/>
    <xf numFmtId="44" fontId="0" fillId="2" borderId="0" xfId="2" quotePrefix="1" applyFont="1" applyFill="1" applyAlignment="1">
      <alignment horizontal="right"/>
    </xf>
    <xf numFmtId="44" fontId="0" fillId="2" borderId="0" xfId="2" applyFont="1" applyFill="1" applyAlignment="1">
      <alignment horizontal="center"/>
    </xf>
    <xf numFmtId="10" fontId="0" fillId="2" borderId="0" xfId="3" applyNumberFormat="1" applyFont="1" applyFill="1"/>
    <xf numFmtId="0" fontId="32" fillId="2" borderId="0" xfId="0" applyFont="1" applyFill="1" applyAlignment="1">
      <alignment horizontal="left"/>
    </xf>
    <xf numFmtId="177" fontId="1" fillId="2" borderId="0" xfId="2" applyNumberFormat="1" applyFont="1" applyFill="1"/>
    <xf numFmtId="17" fontId="32" fillId="2" borderId="0" xfId="0" applyNumberFormat="1" applyFont="1" applyFill="1" applyAlignment="1">
      <alignment horizontal="left"/>
    </xf>
    <xf numFmtId="178" fontId="1" fillId="2" borderId="0" xfId="1" quotePrefix="1" applyNumberFormat="1" applyFont="1" applyFill="1" applyBorder="1"/>
    <xf numFmtId="178" fontId="4" fillId="2" borderId="0" xfId="1" quotePrefix="1" applyNumberFormat="1" applyFont="1" applyFill="1" applyBorder="1"/>
    <xf numFmtId="43" fontId="1" fillId="2" borderId="0" xfId="1" quotePrefix="1" applyFont="1" applyFill="1"/>
    <xf numFmtId="43" fontId="4" fillId="2" borderId="0" xfId="1" quotePrefix="1" applyFont="1" applyFill="1" applyBorder="1"/>
    <xf numFmtId="43" fontId="1" fillId="2" borderId="0" xfId="1" applyFont="1" applyFill="1" applyBorder="1" applyAlignment="1">
      <alignment horizontal="right"/>
    </xf>
    <xf numFmtId="178" fontId="0" fillId="2" borderId="0" xfId="0" applyNumberFormat="1" applyFill="1"/>
    <xf numFmtId="178" fontId="4" fillId="2" borderId="0" xfId="0" applyNumberFormat="1" applyFont="1" applyFill="1"/>
    <xf numFmtId="0" fontId="4" fillId="2" borderId="0" xfId="0" applyFont="1" applyFill="1" applyAlignment="1">
      <alignment horizontal="right"/>
    </xf>
    <xf numFmtId="179" fontId="4" fillId="2" borderId="0" xfId="2" quotePrefix="1" applyNumberFormat="1" applyFont="1" applyFill="1" applyBorder="1"/>
    <xf numFmtId="178" fontId="1" fillId="2" borderId="0" xfId="1" quotePrefix="1" applyNumberFormat="1" applyFont="1" applyFill="1"/>
    <xf numFmtId="0" fontId="4" fillId="2" borderId="0" xfId="0" applyFont="1" applyFill="1" applyAlignment="1">
      <alignment horizontal="center" wrapText="1"/>
    </xf>
    <xf numFmtId="177" fontId="1" fillId="2" borderId="0" xfId="2" quotePrefix="1" applyNumberFormat="1" applyFont="1" applyFill="1"/>
    <xf numFmtId="166" fontId="0" fillId="2" borderId="0" xfId="1" applyNumberFormat="1" applyFont="1" applyFill="1"/>
    <xf numFmtId="176" fontId="0" fillId="2" borderId="0" xfId="3" applyNumberFormat="1" applyFont="1" applyFill="1"/>
    <xf numFmtId="0" fontId="7" fillId="2" borderId="0" xfId="0" applyFont="1" applyFill="1" applyAlignment="1">
      <alignment horizontal="right"/>
    </xf>
    <xf numFmtId="180" fontId="4" fillId="2" borderId="0" xfId="1" applyNumberFormat="1" applyFont="1" applyFill="1"/>
    <xf numFmtId="43" fontId="7" fillId="2" borderId="0" xfId="1" applyFont="1" applyFill="1"/>
    <xf numFmtId="180" fontId="1" fillId="2" borderId="0" xfId="1" quotePrefix="1" applyNumberFormat="1" applyFont="1" applyFill="1"/>
    <xf numFmtId="176" fontId="0" fillId="2" borderId="0" xfId="2" quotePrefix="1" applyNumberFormat="1" applyFont="1" applyFill="1"/>
    <xf numFmtId="0" fontId="40" fillId="2" borderId="0" xfId="5" applyFont="1" applyFill="1" applyAlignment="1">
      <alignment horizontal="left"/>
    </xf>
    <xf numFmtId="0" fontId="7" fillId="2" borderId="0" xfId="5" applyFont="1" applyFill="1"/>
    <xf numFmtId="0" fontId="41" fillId="2" borderId="0" xfId="0" applyFont="1" applyFill="1" applyAlignment="1">
      <alignment horizontal="center"/>
    </xf>
    <xf numFmtId="0" fontId="7" fillId="2" borderId="0" xfId="6" applyFont="1" applyFill="1"/>
    <xf numFmtId="44" fontId="43" fillId="2" borderId="10" xfId="2" applyFont="1" applyFill="1" applyBorder="1"/>
    <xf numFmtId="44" fontId="43" fillId="2" borderId="0" xfId="2" applyFont="1" applyFill="1"/>
    <xf numFmtId="0" fontId="1" fillId="2" borderId="0" xfId="6" applyFill="1"/>
    <xf numFmtId="3" fontId="1" fillId="2" borderId="0" xfId="0" applyNumberFormat="1" applyFont="1" applyFill="1"/>
    <xf numFmtId="176" fontId="43" fillId="2" borderId="0" xfId="2" applyNumberFormat="1" applyFont="1" applyFill="1"/>
    <xf numFmtId="0" fontId="43" fillId="2" borderId="0" xfId="0" applyFont="1" applyFill="1"/>
    <xf numFmtId="176" fontId="43" fillId="2" borderId="4" xfId="2" applyNumberFormat="1" applyFont="1" applyFill="1" applyBorder="1"/>
    <xf numFmtId="179" fontId="0" fillId="2" borderId="0" xfId="2" applyNumberFormat="1" applyFont="1" applyFill="1"/>
    <xf numFmtId="179" fontId="1" fillId="2" borderId="0" xfId="2" applyNumberFormat="1" applyFont="1" applyFill="1"/>
    <xf numFmtId="179" fontId="4" fillId="2" borderId="0" xfId="2" quotePrefix="1" applyNumberFormat="1" applyFont="1" applyFill="1"/>
    <xf numFmtId="176" fontId="38" fillId="2" borderId="0" xfId="0" applyNumberFormat="1" applyFont="1" applyFill="1"/>
    <xf numFmtId="179" fontId="0" fillId="2" borderId="0" xfId="0" applyNumberFormat="1" applyFill="1"/>
    <xf numFmtId="0" fontId="2" fillId="2" borderId="0" xfId="0" applyFont="1" applyFill="1"/>
    <xf numFmtId="167" fontId="2" fillId="2" borderId="0" xfId="0" applyNumberFormat="1" applyFont="1" applyFill="1"/>
    <xf numFmtId="177" fontId="4" fillId="2" borderId="0" xfId="2" quotePrefix="1" applyNumberFormat="1" applyFont="1" applyFill="1"/>
    <xf numFmtId="176" fontId="38" fillId="2" borderId="0" xfId="2" quotePrefix="1" applyNumberFormat="1" applyFont="1" applyFill="1"/>
    <xf numFmtId="176" fontId="4" fillId="2" borderId="0" xfId="0" applyNumberFormat="1" applyFont="1" applyFill="1"/>
    <xf numFmtId="0" fontId="0" fillId="2" borderId="11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5" xfId="0" applyFill="1" applyBorder="1" applyAlignment="1">
      <alignment horizontal="center"/>
    </xf>
    <xf numFmtId="0" fontId="0" fillId="2" borderId="13" xfId="0" applyFill="1" applyBorder="1"/>
    <xf numFmtId="0" fontId="32" fillId="2" borderId="5" xfId="0" applyFont="1" applyFill="1" applyBorder="1" applyAlignment="1">
      <alignment horizontal="center"/>
    </xf>
    <xf numFmtId="169" fontId="0" fillId="2" borderId="0" xfId="3" applyNumberFormat="1" applyFont="1" applyFill="1"/>
    <xf numFmtId="170" fontId="0" fillId="2" borderId="5" xfId="0" applyNumberFormat="1" applyFill="1" applyBorder="1"/>
    <xf numFmtId="0" fontId="0" fillId="2" borderId="14" xfId="0" applyFill="1" applyBorder="1"/>
    <xf numFmtId="0" fontId="0" fillId="2" borderId="15" xfId="0" applyFill="1" applyBorder="1"/>
    <xf numFmtId="184" fontId="4" fillId="2" borderId="0" xfId="2" quotePrefix="1" applyNumberFormat="1" applyFont="1" applyFill="1"/>
    <xf numFmtId="169" fontId="32" fillId="2" borderId="0" xfId="3" applyNumberFormat="1" applyFont="1" applyFill="1"/>
    <xf numFmtId="0" fontId="1" fillId="2" borderId="0" xfId="5" applyFill="1"/>
    <xf numFmtId="0" fontId="5" fillId="2" borderId="0" xfId="5" applyFont="1" applyFill="1" applyAlignment="1">
      <alignment horizontal="center"/>
    </xf>
    <xf numFmtId="0" fontId="1" fillId="2" borderId="0" xfId="5" applyFill="1" applyAlignment="1">
      <alignment horizontal="center" wrapText="1"/>
    </xf>
    <xf numFmtId="0" fontId="4" fillId="2" borderId="0" xfId="5" applyFont="1" applyFill="1"/>
    <xf numFmtId="175" fontId="1" fillId="2" borderId="0" xfId="5" applyNumberFormat="1" applyFill="1"/>
    <xf numFmtId="0" fontId="1" fillId="2" borderId="0" xfId="5" quotePrefix="1" applyFill="1"/>
    <xf numFmtId="175" fontId="1" fillId="2" borderId="4" xfId="5" quotePrefix="1" applyNumberFormat="1" applyFill="1" applyBorder="1" applyAlignment="1">
      <alignment horizontal="right"/>
    </xf>
    <xf numFmtId="175" fontId="1" fillId="2" borderId="4" xfId="5" applyNumberFormat="1" applyFill="1" applyBorder="1"/>
    <xf numFmtId="0" fontId="7" fillId="2" borderId="0" xfId="5" applyFont="1" applyFill="1" applyAlignment="1">
      <alignment horizontal="center" wrapText="1"/>
    </xf>
    <xf numFmtId="175" fontId="1" fillId="2" borderId="0" xfId="5" quotePrefix="1" applyNumberFormat="1" applyFill="1" applyAlignment="1">
      <alignment horizontal="right"/>
    </xf>
    <xf numFmtId="172" fontId="1" fillId="2" borderId="0" xfId="5" applyNumberFormat="1" applyFill="1"/>
    <xf numFmtId="3" fontId="1" fillId="2" borderId="4" xfId="5" applyNumberFormat="1" applyFill="1" applyBorder="1"/>
    <xf numFmtId="181" fontId="1" fillId="2" borderId="0" xfId="5" quotePrefix="1" applyNumberFormat="1" applyFill="1" applyAlignment="1">
      <alignment horizontal="right"/>
    </xf>
    <xf numFmtId="181" fontId="1" fillId="2" borderId="0" xfId="5" applyNumberFormat="1" applyFill="1"/>
    <xf numFmtId="0" fontId="4" fillId="2" borderId="0" xfId="5" applyFont="1" applyFill="1" applyAlignment="1">
      <alignment wrapText="1"/>
    </xf>
    <xf numFmtId="166" fontId="1" fillId="2" borderId="4" xfId="1" applyNumberFormat="1" applyFont="1" applyFill="1" applyBorder="1"/>
    <xf numFmtId="10" fontId="1" fillId="2" borderId="0" xfId="3" applyNumberFormat="1" applyFont="1" applyFill="1"/>
    <xf numFmtId="0" fontId="4" fillId="2" borderId="0" xfId="6" applyFont="1" applyFill="1"/>
    <xf numFmtId="3" fontId="1" fillId="2" borderId="0" xfId="5" applyNumberFormat="1" applyFill="1"/>
    <xf numFmtId="175" fontId="4" fillId="2" borderId="16" xfId="5" applyNumberFormat="1" applyFont="1" applyFill="1" applyBorder="1"/>
    <xf numFmtId="0" fontId="4" fillId="2" borderId="0" xfId="5" quotePrefix="1" applyFont="1" applyFill="1"/>
    <xf numFmtId="0" fontId="1" fillId="4" borderId="0" xfId="5" applyFill="1"/>
    <xf numFmtId="0" fontId="1" fillId="2" borderId="13" xfId="5" applyFill="1" applyBorder="1"/>
    <xf numFmtId="0" fontId="1" fillId="2" borderId="0" xfId="5" applyFill="1" applyAlignment="1">
      <alignment horizontal="center" vertical="center" wrapText="1"/>
    </xf>
    <xf numFmtId="0" fontId="1" fillId="2" borderId="0" xfId="5" quotePrefix="1" applyFill="1" applyAlignment="1">
      <alignment horizontal="center"/>
    </xf>
    <xf numFmtId="0" fontId="1" fillId="6" borderId="13" xfId="5" applyFill="1" applyBorder="1"/>
    <xf numFmtId="3" fontId="1" fillId="0" borderId="4" xfId="5" applyNumberFormat="1" applyBorder="1"/>
    <xf numFmtId="0" fontId="48" fillId="2" borderId="0" xfId="5" applyFont="1" applyFill="1"/>
    <xf numFmtId="0" fontId="5" fillId="2" borderId="0" xfId="5" applyFont="1" applyFill="1"/>
    <xf numFmtId="0" fontId="2" fillId="2" borderId="0" xfId="5" applyFont="1" applyFill="1" applyAlignment="1">
      <alignment horizontal="center"/>
    </xf>
    <xf numFmtId="0" fontId="1" fillId="2" borderId="0" xfId="5" applyFill="1" applyAlignment="1">
      <alignment horizontal="center"/>
    </xf>
    <xf numFmtId="167" fontId="1" fillId="7" borderId="0" xfId="5" applyNumberFormat="1" applyFill="1"/>
    <xf numFmtId="44" fontId="1" fillId="2" borderId="0" xfId="7" applyFont="1" applyFill="1"/>
    <xf numFmtId="0" fontId="1" fillId="2" borderId="0" xfId="6" quotePrefix="1" applyFill="1"/>
    <xf numFmtId="167" fontId="1" fillId="2" borderId="0" xfId="6" applyNumberFormat="1" applyFill="1"/>
    <xf numFmtId="167" fontId="3" fillId="2" borderId="0" xfId="5" applyNumberFormat="1" applyFont="1" applyFill="1"/>
    <xf numFmtId="176" fontId="1" fillId="2" borderId="0" xfId="7" applyNumberFormat="1" applyFont="1" applyFill="1"/>
    <xf numFmtId="0" fontId="43" fillId="2" borderId="0" xfId="5" applyFont="1" applyFill="1"/>
    <xf numFmtId="176" fontId="1" fillId="2" borderId="0" xfId="5" applyNumberFormat="1" applyFill="1"/>
    <xf numFmtId="176" fontId="38" fillId="2" borderId="0" xfId="7" applyNumberFormat="1" applyFont="1" applyFill="1"/>
    <xf numFmtId="44" fontId="0" fillId="2" borderId="0" xfId="7" applyFont="1" applyFill="1"/>
    <xf numFmtId="177" fontId="1" fillId="2" borderId="0" xfId="5" applyNumberFormat="1" applyFill="1"/>
    <xf numFmtId="177" fontId="1" fillId="2" borderId="0" xfId="7" applyNumberFormat="1" applyFont="1" applyFill="1"/>
    <xf numFmtId="44" fontId="4" fillId="2" borderId="0" xfId="7" quotePrefix="1" applyFont="1" applyFill="1"/>
    <xf numFmtId="0" fontId="4" fillId="2" borderId="0" xfId="5" applyFont="1" applyFill="1" applyAlignment="1">
      <alignment horizontal="left"/>
    </xf>
    <xf numFmtId="0" fontId="1" fillId="2" borderId="0" xfId="5" applyFill="1" applyAlignment="1">
      <alignment horizontal="right"/>
    </xf>
    <xf numFmtId="176" fontId="38" fillId="2" borderId="0" xfId="5" applyNumberFormat="1" applyFont="1" applyFill="1"/>
    <xf numFmtId="176" fontId="0" fillId="2" borderId="0" xfId="7" applyNumberFormat="1" applyFont="1" applyFill="1"/>
    <xf numFmtId="0" fontId="2" fillId="2" borderId="0" xfId="5" applyFont="1" applyFill="1" applyAlignment="1">
      <alignment horizontal="left"/>
    </xf>
    <xf numFmtId="0" fontId="4" fillId="2" borderId="0" xfId="5" applyFont="1" applyFill="1" applyAlignment="1">
      <alignment horizontal="center"/>
    </xf>
    <xf numFmtId="0" fontId="4" fillId="2" borderId="13" xfId="5" applyFont="1" applyFill="1" applyBorder="1" applyAlignment="1">
      <alignment horizontal="center"/>
    </xf>
    <xf numFmtId="17" fontId="1" fillId="2" borderId="0" xfId="5" applyNumberFormat="1" applyFill="1"/>
    <xf numFmtId="178" fontId="4" fillId="2" borderId="13" xfId="1" quotePrefix="1" applyNumberFormat="1" applyFont="1" applyFill="1" applyBorder="1"/>
    <xf numFmtId="17" fontId="1" fillId="2" borderId="0" xfId="5" applyNumberFormat="1" applyFill="1" applyAlignment="1">
      <alignment horizontal="right"/>
    </xf>
    <xf numFmtId="178" fontId="1" fillId="2" borderId="13" xfId="1" quotePrefix="1" applyNumberFormat="1" applyFont="1" applyFill="1" applyBorder="1"/>
    <xf numFmtId="178" fontId="1" fillId="2" borderId="13" xfId="5" applyNumberFormat="1" applyFill="1" applyBorder="1"/>
    <xf numFmtId="178" fontId="4" fillId="2" borderId="0" xfId="5" applyNumberFormat="1" applyFont="1" applyFill="1"/>
    <xf numFmtId="0" fontId="4" fillId="2" borderId="0" xfId="5" applyFont="1" applyFill="1" applyAlignment="1">
      <alignment horizontal="right"/>
    </xf>
    <xf numFmtId="43" fontId="1" fillId="2" borderId="13" xfId="1" quotePrefix="1" applyFont="1" applyFill="1" applyBorder="1"/>
    <xf numFmtId="179" fontId="4" fillId="2" borderId="0" xfId="7" quotePrefix="1" applyNumberFormat="1" applyFont="1" applyFill="1" applyBorder="1"/>
    <xf numFmtId="0" fontId="1" fillId="2" borderId="0" xfId="5" applyFill="1" applyAlignment="1">
      <alignment horizontal="left"/>
    </xf>
    <xf numFmtId="0" fontId="4" fillId="2" borderId="13" xfId="5" applyFont="1" applyFill="1" applyBorder="1"/>
    <xf numFmtId="0" fontId="4" fillId="2" borderId="0" xfId="5" applyFont="1" applyFill="1" applyAlignment="1">
      <alignment horizontal="center" wrapText="1"/>
    </xf>
    <xf numFmtId="178" fontId="1" fillId="2" borderId="0" xfId="5" applyNumberFormat="1" applyFill="1"/>
    <xf numFmtId="0" fontId="32" fillId="2" borderId="13" xfId="5" applyFont="1" applyFill="1" applyBorder="1" applyAlignment="1">
      <alignment horizontal="left"/>
    </xf>
    <xf numFmtId="0" fontId="1" fillId="2" borderId="13" xfId="5" applyFill="1" applyBorder="1" applyAlignment="1">
      <alignment horizontal="right"/>
    </xf>
    <xf numFmtId="177" fontId="1" fillId="2" borderId="0" xfId="7" quotePrefix="1" applyNumberFormat="1" applyFont="1" applyFill="1"/>
    <xf numFmtId="0" fontId="2" fillId="2" borderId="0" xfId="5" applyFont="1" applyFill="1"/>
    <xf numFmtId="167" fontId="2" fillId="2" borderId="0" xfId="5" applyNumberFormat="1" applyFont="1" applyFill="1"/>
    <xf numFmtId="167" fontId="2" fillId="2" borderId="13" xfId="5" applyNumberFormat="1" applyFont="1" applyFill="1" applyBorder="1"/>
    <xf numFmtId="0" fontId="2" fillId="2" borderId="13" xfId="5" applyFont="1" applyFill="1" applyBorder="1"/>
    <xf numFmtId="177" fontId="4" fillId="2" borderId="0" xfId="7" quotePrefix="1" applyNumberFormat="1" applyFont="1" applyFill="1"/>
    <xf numFmtId="176" fontId="0" fillId="2" borderId="0" xfId="7" quotePrefix="1" applyNumberFormat="1" applyFont="1" applyFill="1"/>
    <xf numFmtId="176" fontId="0" fillId="2" borderId="13" xfId="7" applyNumberFormat="1" applyFont="1" applyFill="1" applyBorder="1"/>
    <xf numFmtId="176" fontId="38" fillId="2" borderId="13" xfId="7" applyNumberFormat="1" applyFont="1" applyFill="1" applyBorder="1"/>
    <xf numFmtId="176" fontId="1" fillId="2" borderId="13" xfId="5" applyNumberFormat="1" applyFill="1" applyBorder="1"/>
    <xf numFmtId="176" fontId="1" fillId="2" borderId="0" xfId="7" quotePrefix="1" applyNumberFormat="1" applyFont="1" applyFill="1"/>
    <xf numFmtId="176" fontId="38" fillId="2" borderId="0" xfId="7" quotePrefix="1" applyNumberFormat="1" applyFont="1" applyFill="1"/>
    <xf numFmtId="176" fontId="1" fillId="4" borderId="0" xfId="5" applyNumberFormat="1" applyFill="1"/>
    <xf numFmtId="176" fontId="4" fillId="2" borderId="0" xfId="5" applyNumberFormat="1" applyFont="1" applyFill="1"/>
    <xf numFmtId="184" fontId="4" fillId="2" borderId="0" xfId="7" quotePrefix="1" applyNumberFormat="1" applyFont="1" applyFill="1"/>
    <xf numFmtId="0" fontId="32" fillId="2" borderId="0" xfId="5" applyFont="1" applyFill="1" applyAlignment="1">
      <alignment horizontal="center"/>
    </xf>
    <xf numFmtId="44" fontId="1" fillId="2" borderId="0" xfId="5" applyNumberFormat="1" applyFill="1"/>
    <xf numFmtId="176" fontId="38" fillId="2" borderId="0" xfId="7" applyNumberFormat="1" applyFont="1" applyFill="1" applyBorder="1"/>
    <xf numFmtId="176" fontId="1" fillId="2" borderId="4" xfId="5" applyNumberFormat="1" applyFill="1" applyBorder="1"/>
    <xf numFmtId="44" fontId="1" fillId="2" borderId="4" xfId="5" applyNumberFormat="1" applyFill="1" applyBorder="1"/>
    <xf numFmtId="0" fontId="47" fillId="2" borderId="0" xfId="5" applyFont="1" applyFill="1"/>
    <xf numFmtId="0" fontId="47" fillId="0" borderId="0" xfId="5" applyFont="1" applyAlignment="1">
      <alignment wrapText="1"/>
    </xf>
    <xf numFmtId="44" fontId="1" fillId="0" borderId="0" xfId="2" applyFont="1" applyFill="1"/>
    <xf numFmtId="0" fontId="4" fillId="0" borderId="0" xfId="5" applyFont="1"/>
    <xf numFmtId="17" fontId="49" fillId="2" borderId="0" xfId="0" applyNumberFormat="1" applyFont="1" applyFill="1" applyAlignment="1">
      <alignment wrapText="1"/>
    </xf>
    <xf numFmtId="17" fontId="50" fillId="2" borderId="0" xfId="0" applyNumberFormat="1" applyFont="1" applyFill="1"/>
    <xf numFmtId="0" fontId="51" fillId="2" borderId="0" xfId="0" applyFont="1" applyFill="1" applyAlignment="1">
      <alignment horizontal="left"/>
    </xf>
    <xf numFmtId="0" fontId="43" fillId="2" borderId="0" xfId="0" applyFont="1" applyFill="1" applyAlignment="1">
      <alignment horizontal="left"/>
    </xf>
    <xf numFmtId="0" fontId="52" fillId="2" borderId="0" xfId="0" applyFont="1" applyFill="1" applyAlignment="1">
      <alignment horizontal="left"/>
    </xf>
    <xf numFmtId="0" fontId="50" fillId="2" borderId="0" xfId="0" applyFont="1" applyFill="1" applyAlignment="1">
      <alignment horizontal="left"/>
    </xf>
    <xf numFmtId="0" fontId="53" fillId="2" borderId="0" xfId="0" applyFont="1" applyFill="1" applyAlignment="1">
      <alignment horizontal="left"/>
    </xf>
    <xf numFmtId="0" fontId="54" fillId="2" borderId="0" xfId="0" quotePrefix="1" applyFont="1" applyFill="1"/>
    <xf numFmtId="172" fontId="54" fillId="2" borderId="0" xfId="0" applyNumberFormat="1" applyFont="1" applyFill="1"/>
    <xf numFmtId="0" fontId="55" fillId="2" borderId="0" xfId="0" applyFont="1" applyFill="1"/>
    <xf numFmtId="0" fontId="51" fillId="2" borderId="0" xfId="0" applyFont="1" applyFill="1" applyAlignment="1">
      <alignment horizontal="left" wrapText="1"/>
    </xf>
    <xf numFmtId="0" fontId="54" fillId="2" borderId="0" xfId="0" applyFont="1" applyFill="1"/>
    <xf numFmtId="0" fontId="54" fillId="2" borderId="0" xfId="0" applyFont="1" applyFill="1" applyAlignment="1">
      <alignment horizontal="left"/>
    </xf>
    <xf numFmtId="0" fontId="56" fillId="2" borderId="0" xfId="0" applyFont="1" applyFill="1"/>
    <xf numFmtId="0" fontId="43" fillId="2" borderId="0" xfId="0" applyFont="1" applyFill="1" applyAlignment="1">
      <alignment horizontal="right"/>
    </xf>
    <xf numFmtId="0" fontId="43" fillId="2" borderId="1" xfId="0" applyFont="1" applyFill="1" applyBorder="1"/>
    <xf numFmtId="44" fontId="25" fillId="2" borderId="1" xfId="2" applyFont="1" applyFill="1" applyBorder="1"/>
    <xf numFmtId="3" fontId="43" fillId="2" borderId="0" xfId="0" applyNumberFormat="1" applyFont="1" applyFill="1"/>
    <xf numFmtId="3" fontId="46" fillId="8" borderId="0" xfId="0" applyNumberFormat="1" applyFont="1" applyFill="1" applyAlignment="1">
      <alignment horizontal="center"/>
    </xf>
    <xf numFmtId="3" fontId="46" fillId="8" borderId="4" xfId="0" applyNumberFormat="1" applyFont="1" applyFill="1" applyBorder="1" applyAlignment="1">
      <alignment horizontal="center"/>
    </xf>
    <xf numFmtId="185" fontId="0" fillId="2" borderId="0" xfId="2" applyNumberFormat="1" applyFont="1" applyFill="1"/>
    <xf numFmtId="185" fontId="0" fillId="2" borderId="0" xfId="0" applyNumberFormat="1" applyFill="1"/>
    <xf numFmtId="0" fontId="0" fillId="2" borderId="0" xfId="5" applyFont="1" applyFill="1" applyAlignment="1">
      <alignment horizontal="center" vertical="center" wrapText="1"/>
    </xf>
    <xf numFmtId="0" fontId="57" fillId="2" borderId="0" xfId="5" applyFont="1" applyFill="1"/>
    <xf numFmtId="0" fontId="58" fillId="2" borderId="0" xfId="5" applyFont="1" applyFill="1" applyAlignment="1">
      <alignment horizontal="center"/>
    </xf>
    <xf numFmtId="182" fontId="4" fillId="2" borderId="0" xfId="3" quotePrefix="1" applyNumberFormat="1" applyFont="1" applyFill="1"/>
    <xf numFmtId="10" fontId="46" fillId="2" borderId="1" xfId="0" applyNumberFormat="1" applyFont="1" applyFill="1" applyBorder="1"/>
    <xf numFmtId="3" fontId="46" fillId="2" borderId="0" xfId="0" applyNumberFormat="1" applyFont="1" applyFill="1"/>
    <xf numFmtId="165" fontId="46" fillId="2" borderId="0" xfId="3" quotePrefix="1" applyNumberFormat="1" applyFont="1" applyFill="1" applyBorder="1"/>
    <xf numFmtId="9" fontId="46" fillId="2" borderId="0" xfId="3" quotePrefix="1" applyFont="1" applyFill="1" applyBorder="1"/>
    <xf numFmtId="10" fontId="46" fillId="2" borderId="0" xfId="2" quotePrefix="1" applyNumberFormat="1" applyFont="1" applyFill="1" applyBorder="1"/>
    <xf numFmtId="44" fontId="46" fillId="2" borderId="0" xfId="2" quotePrefix="1" applyFont="1" applyFill="1" applyBorder="1"/>
    <xf numFmtId="167" fontId="12" fillId="9" borderId="1" xfId="0" applyNumberFormat="1" applyFont="1" applyFill="1" applyBorder="1"/>
    <xf numFmtId="0" fontId="8" fillId="9" borderId="0" xfId="0" applyFont="1" applyFill="1" applyAlignment="1">
      <alignment horizontal="center"/>
    </xf>
    <xf numFmtId="0" fontId="51" fillId="9" borderId="0" xfId="0" applyFont="1" applyFill="1" applyAlignment="1">
      <alignment horizontal="left"/>
    </xf>
    <xf numFmtId="40" fontId="12" fillId="9" borderId="1" xfId="0" applyNumberFormat="1" applyFont="1" applyFill="1" applyBorder="1" applyAlignment="1">
      <alignment horizontal="right"/>
    </xf>
    <xf numFmtId="9" fontId="12" fillId="9" borderId="1" xfId="3" applyFont="1" applyFill="1" applyBorder="1"/>
    <xf numFmtId="7" fontId="12" fillId="3" borderId="1" xfId="2" applyNumberFormat="1" applyFont="1" applyFill="1" applyBorder="1"/>
    <xf numFmtId="0" fontId="1" fillId="9" borderId="0" xfId="0" applyFont="1" applyFill="1"/>
    <xf numFmtId="8" fontId="12" fillId="9" borderId="1" xfId="1" applyNumberFormat="1" applyFont="1" applyFill="1" applyBorder="1"/>
    <xf numFmtId="17" fontId="59" fillId="2" borderId="0" xfId="0" applyNumberFormat="1" applyFont="1" applyFill="1" applyAlignment="1">
      <alignment horizontal="left" vertical="center" wrapText="1" indent="1"/>
    </xf>
    <xf numFmtId="0" fontId="59" fillId="2" borderId="0" xfId="0" applyFont="1" applyFill="1" applyAlignment="1">
      <alignment horizontal="left" vertical="center" wrapText="1" indent="1"/>
    </xf>
    <xf numFmtId="0" fontId="1" fillId="0" borderId="0" xfId="5" quotePrefix="1"/>
    <xf numFmtId="164" fontId="1" fillId="2" borderId="0" xfId="0" applyNumberFormat="1" applyFont="1" applyFill="1"/>
    <xf numFmtId="0" fontId="27" fillId="2" borderId="0" xfId="5" applyFont="1" applyFill="1"/>
    <xf numFmtId="0" fontId="27" fillId="2" borderId="0" xfId="5" applyFont="1" applyFill="1" applyAlignment="1">
      <alignment horizontal="center" wrapText="1"/>
    </xf>
    <xf numFmtId="175" fontId="27" fillId="2" borderId="0" xfId="5" applyNumberFormat="1" applyFont="1" applyFill="1"/>
    <xf numFmtId="175" fontId="27" fillId="2" borderId="0" xfId="5" quotePrefix="1" applyNumberFormat="1" applyFont="1" applyFill="1" applyAlignment="1">
      <alignment horizontal="right"/>
    </xf>
    <xf numFmtId="172" fontId="27" fillId="2" borderId="0" xfId="5" applyNumberFormat="1" applyFont="1" applyFill="1"/>
    <xf numFmtId="3" fontId="27" fillId="2" borderId="0" xfId="5" applyNumberFormat="1" applyFont="1" applyFill="1"/>
    <xf numFmtId="181" fontId="27" fillId="2" borderId="0" xfId="5" quotePrefix="1" applyNumberFormat="1" applyFont="1" applyFill="1" applyAlignment="1">
      <alignment horizontal="right"/>
    </xf>
    <xf numFmtId="181" fontId="27" fillId="2" borderId="0" xfId="5" applyNumberFormat="1" applyFont="1" applyFill="1"/>
    <xf numFmtId="166" fontId="27" fillId="2" borderId="0" xfId="1" applyNumberFormat="1" applyFont="1" applyFill="1" applyBorder="1"/>
    <xf numFmtId="10" fontId="27" fillId="2" borderId="0" xfId="3" applyNumberFormat="1" applyFont="1" applyFill="1" applyBorder="1"/>
    <xf numFmtId="175" fontId="31" fillId="2" borderId="0" xfId="5" applyNumberFormat="1" applyFont="1" applyFill="1"/>
    <xf numFmtId="0" fontId="4" fillId="9" borderId="0" xfId="0" applyFont="1" applyFill="1"/>
    <xf numFmtId="44" fontId="42" fillId="10" borderId="0" xfId="2" applyFont="1" applyFill="1"/>
    <xf numFmtId="0" fontId="50" fillId="2" borderId="1" xfId="0" applyFont="1" applyFill="1" applyBorder="1"/>
    <xf numFmtId="171" fontId="0" fillId="0" borderId="0" xfId="0" applyNumberFormat="1"/>
    <xf numFmtId="0" fontId="37" fillId="0" borderId="0" xfId="0" applyFont="1" applyAlignment="1">
      <alignment wrapText="1"/>
    </xf>
    <xf numFmtId="0" fontId="37" fillId="0" borderId="0" xfId="0" applyFont="1" applyAlignment="1">
      <alignment horizontal="left"/>
    </xf>
    <xf numFmtId="173" fontId="23" fillId="0" borderId="1" xfId="0" applyNumberFormat="1" applyFont="1" applyBorder="1"/>
    <xf numFmtId="0" fontId="47" fillId="0" borderId="0" xfId="5" applyFont="1"/>
    <xf numFmtId="0" fontId="1" fillId="0" borderId="0" xfId="5"/>
    <xf numFmtId="0" fontId="3" fillId="2" borderId="1" xfId="1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75" fontId="1" fillId="2" borderId="4" xfId="2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4" fontId="0" fillId="2" borderId="0" xfId="0" applyNumberFormat="1" applyFill="1" applyAlignment="1">
      <alignment horizontal="center" wrapText="1"/>
    </xf>
    <xf numFmtId="0" fontId="39" fillId="0" borderId="0" xfId="0" applyFont="1" applyAlignment="1">
      <alignment horizontal="left" wrapText="1"/>
    </xf>
    <xf numFmtId="0" fontId="39" fillId="0" borderId="0" xfId="5" applyFont="1" applyAlignment="1">
      <alignment horizontal="left" vertical="center" wrapText="1"/>
    </xf>
    <xf numFmtId="0" fontId="44" fillId="5" borderId="0" xfId="5" applyFont="1" applyFill="1" applyAlignment="1">
      <alignment horizontal="left" vertical="center" wrapText="1"/>
    </xf>
    <xf numFmtId="0" fontId="45" fillId="2" borderId="0" xfId="0" applyFont="1" applyFill="1" applyAlignment="1">
      <alignment horizontal="left" wrapText="1"/>
    </xf>
    <xf numFmtId="0" fontId="39" fillId="0" borderId="5" xfId="5" applyFont="1" applyBorder="1" applyAlignment="1">
      <alignment horizontal="left" vertical="center" wrapText="1"/>
    </xf>
    <xf numFmtId="0" fontId="47" fillId="2" borderId="0" xfId="5" applyFont="1" applyFill="1" applyAlignment="1">
      <alignment horizontal="left" vertical="center" wrapText="1"/>
    </xf>
    <xf numFmtId="0" fontId="47" fillId="2" borderId="13" xfId="5" applyFont="1" applyFill="1" applyBorder="1" applyAlignment="1">
      <alignment horizontal="left" vertical="center" wrapText="1"/>
    </xf>
    <xf numFmtId="186" fontId="13" fillId="2" borderId="0" xfId="0" applyNumberFormat="1" applyFont="1" applyFill="1"/>
    <xf numFmtId="0" fontId="37" fillId="2" borderId="0" xfId="0" applyFont="1" applyFill="1"/>
    <xf numFmtId="0" fontId="37" fillId="2" borderId="0" xfId="0" applyFont="1" applyFill="1" applyAlignment="1">
      <alignment wrapText="1"/>
    </xf>
    <xf numFmtId="0" fontId="60" fillId="2" borderId="0" xfId="0" applyFont="1" applyFill="1" applyAlignment="1">
      <alignment horizontal="left"/>
    </xf>
    <xf numFmtId="0" fontId="61" fillId="2" borderId="1" xfId="0" quotePrefix="1" applyFont="1" applyFill="1" applyBorder="1" applyAlignment="1">
      <alignment horizontal="center"/>
    </xf>
  </cellXfs>
  <cellStyles count="8">
    <cellStyle name="Comma" xfId="1" builtinId="3"/>
    <cellStyle name="Currency" xfId="2" builtinId="4"/>
    <cellStyle name="Currency 2 2 2" xfId="7" xr:uid="{80412AAF-4296-4557-99E8-7CA5664B9218}"/>
    <cellStyle name="Hyperlink" xfId="4" builtinId="8"/>
    <cellStyle name="Normal" xfId="0" builtinId="0"/>
    <cellStyle name="Normal 10" xfId="6" xr:uid="{F4BA5C32-604A-430D-B824-A2FED010A054}"/>
    <cellStyle name="Normal 2 4" xfId="5" xr:uid="{89DEB417-D133-4B72-95AE-5C19D963382C}"/>
    <cellStyle name="Percent" xfId="3" builtinId="5"/>
  </cellStyles>
  <dxfs count="0"/>
  <tableStyles count="0" defaultTableStyle="TableStyleMedium2" defaultPivotStyle="PivotStyleLight16"/>
  <colors>
    <mruColors>
      <color rgb="FFFFFFCC"/>
      <color rgb="FFFFE7F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C:\Users\A00202130\AppData\Local\Microsoft\Windows\2021%20BGS-RSCP%20for%202022-2023\01.2022%20Compliance%20Filing\Model%20Updates\Pre-auction%20Final\Working%20Copy\Pre-auction%20Final\AppData\Local\Microsoft\2018%20BGS-RSCP%20for%202019-2020\2019.01%20Compliance%20Filing\Pre%20Auction\2015%20BGS-RSCP%20for%202016-2017\2015-11%20Compliance%20Filing\2015%20BGS-RSCP%20for%202016-2017\2015-07%20Initial%20Filing\BGS-FP%20Initial%20Filing%20Supporting%20Documents\Table1&amp;2%20-%20OnPeak%25\Table%201%20-%20Time%20period%20usage%20for%202016-17%20Spreadsheet.xl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E0DA-ECD5-42A3-91A1-5430995704A9}">
  <sheetPr codeName="Sheet5"/>
  <dimension ref="A1:AF395"/>
  <sheetViews>
    <sheetView tabSelected="1" zoomScaleNormal="100" workbookViewId="0"/>
  </sheetViews>
  <sheetFormatPr defaultColWidth="9.26953125" defaultRowHeight="13" outlineLevelRow="1"/>
  <cols>
    <col min="1" max="1" width="17.40625" style="437" customWidth="1"/>
    <col min="2" max="2" width="57.40625" style="1" customWidth="1"/>
    <col min="3" max="3" width="18.54296875" style="1" customWidth="1"/>
    <col min="4" max="4" width="16.7265625" style="1" customWidth="1"/>
    <col min="5" max="5" width="13.40625" style="1" customWidth="1"/>
    <col min="6" max="6" width="12.54296875" style="1" customWidth="1"/>
    <col min="7" max="8" width="10.54296875" style="1" customWidth="1"/>
    <col min="9" max="9" width="11" style="1" customWidth="1"/>
    <col min="10" max="10" width="10.54296875" style="1" customWidth="1"/>
    <col min="11" max="12" width="12.40625" style="1" customWidth="1"/>
    <col min="13" max="15" width="13.40625" style="1" customWidth="1"/>
    <col min="16" max="16" width="13" style="1" customWidth="1"/>
    <col min="17" max="17" width="11.54296875" style="1" bestFit="1" customWidth="1"/>
    <col min="18" max="18" width="12.40625" style="1" customWidth="1"/>
    <col min="19" max="19" width="13" style="1" customWidth="1"/>
    <col min="20" max="20" width="13.26953125" style="1" customWidth="1"/>
    <col min="21" max="21" width="14.40625" style="1" customWidth="1"/>
    <col min="22" max="22" width="11" style="1" bestFit="1" customWidth="1"/>
    <col min="23" max="23" width="10.54296875" style="1" customWidth="1"/>
    <col min="24" max="24" width="11.54296875" style="1" customWidth="1"/>
    <col min="25" max="25" width="11.40625" style="1" bestFit="1" customWidth="1"/>
    <col min="26" max="26" width="10.26953125" style="1" customWidth="1"/>
    <col min="27" max="27" width="10.54296875" style="1" customWidth="1"/>
    <col min="28" max="28" width="12.7265625" style="1" bestFit="1" customWidth="1"/>
    <col min="29" max="29" width="9.26953125" style="1"/>
    <col min="30" max="30" width="17.54296875" style="1" customWidth="1"/>
    <col min="31" max="31" width="9.26953125" style="1"/>
    <col min="32" max="32" width="10.40625" style="1" bestFit="1" customWidth="1"/>
    <col min="33" max="33" width="10.54296875" style="1" customWidth="1"/>
    <col min="34" max="16384" width="9.26953125" style="1"/>
  </cols>
  <sheetData>
    <row r="1" spans="1:24">
      <c r="A1" s="477" t="s">
        <v>427</v>
      </c>
    </row>
    <row r="2" spans="1:24">
      <c r="A2" s="517" t="s">
        <v>428</v>
      </c>
      <c r="B2" s="518" t="s">
        <v>298</v>
      </c>
      <c r="C2" s="3" t="s">
        <v>429</v>
      </c>
      <c r="D2" s="498">
        <v>2026</v>
      </c>
    </row>
    <row r="3" spans="1:24">
      <c r="A3" s="437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24">
      <c r="A4" s="320"/>
    </row>
    <row r="5" spans="1:24" ht="13.75" hidden="1" thickBot="1">
      <c r="A5" s="437" t="s">
        <v>430</v>
      </c>
      <c r="B5" s="503" t="s">
        <v>298</v>
      </c>
      <c r="C5" s="504"/>
      <c r="D5" s="504"/>
      <c r="E5" s="504"/>
      <c r="F5" s="504"/>
      <c r="G5" s="504"/>
      <c r="H5" s="504"/>
      <c r="I5" s="504"/>
      <c r="J5" s="504"/>
      <c r="K5" s="504"/>
      <c r="L5" s="505"/>
    </row>
    <row r="6" spans="1:24">
      <c r="C6" s="5"/>
      <c r="D6" s="5"/>
      <c r="E6" s="5"/>
      <c r="F6" s="5"/>
      <c r="G6" s="5"/>
      <c r="H6" s="5"/>
      <c r="I6" s="5"/>
      <c r="J6" s="5"/>
      <c r="K6" s="5"/>
      <c r="L6" s="5"/>
    </row>
    <row r="7" spans="1:24" ht="15.5">
      <c r="B7" s="7" t="str">
        <f>"Development of BGS-RSCP Cost and Bid Factors for "&amp;(Inputs!D2)&amp;"/"&amp;(Inputs!D2+1)&amp;" BGS Filing"</f>
        <v>Development of BGS-RSCP Cost and Bid Factors for 2026/2027 BGS Filing</v>
      </c>
      <c r="C7" s="8"/>
      <c r="D7" s="8"/>
      <c r="E7" s="8"/>
      <c r="F7" s="8"/>
      <c r="J7" s="7"/>
    </row>
    <row r="8" spans="1:24">
      <c r="A8" s="438"/>
      <c r="B8" s="10" t="s">
        <v>1</v>
      </c>
      <c r="C8" s="8"/>
      <c r="D8" s="8"/>
      <c r="E8" s="8"/>
      <c r="F8" s="8"/>
    </row>
    <row r="9" spans="1:24">
      <c r="B9" s="8"/>
      <c r="C9" s="8"/>
      <c r="D9" s="8"/>
      <c r="E9" s="11" t="str">
        <f>"Based on average of year "&amp;(Inputs!D2-4)&amp;", "&amp;(Inputs!D2-3)&amp;" &amp; "&amp;(Inputs!D2-2)&amp;" Load Profile Information"</f>
        <v>Based on average of year 2022, 2023 &amp; 2024 Load Profile Information</v>
      </c>
      <c r="F9" s="8"/>
    </row>
    <row r="10" spans="1:24">
      <c r="A10" s="436" t="s">
        <v>2</v>
      </c>
      <c r="B10" s="12" t="s">
        <v>3</v>
      </c>
      <c r="C10" s="13"/>
      <c r="D10" s="8"/>
      <c r="E10" s="11" t="s">
        <v>4</v>
      </c>
      <c r="F10" s="8"/>
      <c r="N10" s="12"/>
      <c r="O10" s="12"/>
      <c r="P10" s="8"/>
      <c r="Q10" s="8"/>
      <c r="R10" s="8"/>
      <c r="S10" s="8"/>
      <c r="T10" s="8"/>
      <c r="U10" s="8"/>
      <c r="V10" s="8"/>
      <c r="W10" s="8"/>
      <c r="X10" s="8"/>
    </row>
    <row r="11" spans="1:24" ht="26">
      <c r="A11" s="439"/>
      <c r="B11" s="460"/>
      <c r="C11" s="16" t="s">
        <v>5</v>
      </c>
      <c r="D11" s="16" t="s">
        <v>5</v>
      </c>
      <c r="E11" s="16" t="s">
        <v>5</v>
      </c>
      <c r="F11" s="16" t="s">
        <v>5</v>
      </c>
      <c r="G11" s="16" t="s">
        <v>5</v>
      </c>
      <c r="H11" s="16" t="s">
        <v>5</v>
      </c>
      <c r="I11" s="17" t="s">
        <v>6</v>
      </c>
      <c r="J11" s="18"/>
      <c r="K11" s="16" t="s">
        <v>5</v>
      </c>
      <c r="L11" s="16" t="s">
        <v>5</v>
      </c>
      <c r="M11" s="19"/>
      <c r="N11" s="11"/>
      <c r="O11" s="19"/>
      <c r="P11" s="19"/>
      <c r="Q11" s="19"/>
      <c r="R11" s="19"/>
      <c r="S11" s="19"/>
      <c r="T11" s="19"/>
      <c r="U11" s="11"/>
      <c r="V11" s="20"/>
      <c r="W11" s="19"/>
      <c r="X11" s="19"/>
    </row>
    <row r="12" spans="1:24">
      <c r="A12" s="439"/>
      <c r="B12" s="21" t="s">
        <v>7</v>
      </c>
      <c r="C12" s="22" t="s">
        <v>8</v>
      </c>
      <c r="D12" s="22" t="s">
        <v>9</v>
      </c>
      <c r="E12" s="22" t="s">
        <v>10</v>
      </c>
      <c r="F12" s="22" t="s">
        <v>11</v>
      </c>
      <c r="G12" s="22" t="s">
        <v>12</v>
      </c>
      <c r="H12" s="22" t="s">
        <v>13</v>
      </c>
      <c r="I12" s="22" t="s">
        <v>14</v>
      </c>
      <c r="J12" s="22" t="s">
        <v>15</v>
      </c>
      <c r="K12" s="22" t="s">
        <v>16</v>
      </c>
      <c r="L12" s="22" t="s">
        <v>17</v>
      </c>
      <c r="M12" s="23"/>
      <c r="N12" s="24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>
      <c r="A13" s="439"/>
      <c r="B13" s="3"/>
      <c r="C13" s="22"/>
      <c r="D13" s="22"/>
      <c r="E13" s="22"/>
      <c r="F13" s="22"/>
      <c r="G13" s="22"/>
      <c r="H13" s="22"/>
      <c r="I13" s="22"/>
      <c r="J13" s="22"/>
      <c r="K13" s="22"/>
      <c r="L13" s="22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>
      <c r="A14" s="439"/>
      <c r="B14" s="25" t="s">
        <v>18</v>
      </c>
      <c r="C14" s="26">
        <v>0.4758</v>
      </c>
      <c r="D14" s="26">
        <v>0.46079999999999999</v>
      </c>
      <c r="E14" s="26">
        <v>0.47070000000000001</v>
      </c>
      <c r="F14" s="26">
        <v>0.4758</v>
      </c>
      <c r="G14" s="26">
        <v>0.4758</v>
      </c>
      <c r="H14" s="26">
        <v>0.46360000000000001</v>
      </c>
      <c r="I14" s="26">
        <v>0.30330000000000001</v>
      </c>
      <c r="J14" s="26">
        <v>0.30330000000000001</v>
      </c>
      <c r="K14" s="26">
        <v>0.52059999999999995</v>
      </c>
      <c r="L14" s="26">
        <v>0.50419999999999998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4">
      <c r="A15" s="439"/>
      <c r="B15" s="25" t="s">
        <v>19</v>
      </c>
      <c r="C15" s="26">
        <v>0.49020000000000002</v>
      </c>
      <c r="D15" s="26">
        <v>0.46600000000000003</v>
      </c>
      <c r="E15" s="26">
        <v>0.48070000000000002</v>
      </c>
      <c r="F15" s="26">
        <v>0.49020000000000002</v>
      </c>
      <c r="G15" s="26">
        <v>0.49020000000000002</v>
      </c>
      <c r="H15" s="26">
        <v>0.47010000000000002</v>
      </c>
      <c r="I15" s="26">
        <v>0.2969</v>
      </c>
      <c r="J15" s="26">
        <v>0.2969</v>
      </c>
      <c r="K15" s="26">
        <v>0.53959999999999997</v>
      </c>
      <c r="L15" s="26">
        <v>0.52390000000000003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>
      <c r="A16" s="439"/>
      <c r="B16" s="25" t="s">
        <v>20</v>
      </c>
      <c r="C16" s="26">
        <v>0.49980000000000002</v>
      </c>
      <c r="D16" s="26">
        <v>0.48899999999999999</v>
      </c>
      <c r="E16" s="26">
        <v>0.47910000000000003</v>
      </c>
      <c r="F16" s="26">
        <v>0.49980000000000002</v>
      </c>
      <c r="G16" s="26">
        <v>0.49980000000000002</v>
      </c>
      <c r="H16" s="26">
        <v>0.49220000000000003</v>
      </c>
      <c r="I16" s="26">
        <v>0.26079999999999998</v>
      </c>
      <c r="J16" s="26">
        <v>0.26079999999999998</v>
      </c>
      <c r="K16" s="26">
        <v>0.55689999999999995</v>
      </c>
      <c r="L16" s="26">
        <v>0.53620000000000001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>
      <c r="A17" s="439"/>
      <c r="B17" s="25" t="s">
        <v>21</v>
      </c>
      <c r="C17" s="26">
        <v>0.48380000000000001</v>
      </c>
      <c r="D17" s="26">
        <v>0.4788</v>
      </c>
      <c r="E17" s="26">
        <v>0.46350000000000002</v>
      </c>
      <c r="F17" s="26">
        <v>0.48380000000000001</v>
      </c>
      <c r="G17" s="26">
        <v>0.48380000000000001</v>
      </c>
      <c r="H17" s="26">
        <v>0.4985</v>
      </c>
      <c r="I17" s="26">
        <v>0.22159999999999999</v>
      </c>
      <c r="J17" s="26">
        <v>0.22159999999999999</v>
      </c>
      <c r="K17" s="26">
        <v>0.53890000000000005</v>
      </c>
      <c r="L17" s="26">
        <v>0.51880000000000004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>
      <c r="A18" s="439"/>
      <c r="B18" s="25" t="s">
        <v>22</v>
      </c>
      <c r="C18" s="26">
        <v>0.47510000000000002</v>
      </c>
      <c r="D18" s="26">
        <v>0.48870000000000002</v>
      </c>
      <c r="E18" s="26">
        <v>0.46889999999999998</v>
      </c>
      <c r="F18" s="26">
        <v>0.47510000000000002</v>
      </c>
      <c r="G18" s="26">
        <v>0.47510000000000002</v>
      </c>
      <c r="H18" s="26">
        <v>0.52700000000000002</v>
      </c>
      <c r="I18" s="26">
        <v>0.2109</v>
      </c>
      <c r="J18" s="26">
        <v>0.2109</v>
      </c>
      <c r="K18" s="26">
        <v>0.54469999999999996</v>
      </c>
      <c r="L18" s="26">
        <v>0.52110000000000001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>
      <c r="A19" s="439"/>
      <c r="B19" s="25" t="s">
        <v>23</v>
      </c>
      <c r="C19" s="26">
        <v>0.5363</v>
      </c>
      <c r="D19" s="26">
        <v>0.54310000000000003</v>
      </c>
      <c r="E19" s="26">
        <v>0.53539999999999999</v>
      </c>
      <c r="F19" s="26">
        <v>0.5363</v>
      </c>
      <c r="G19" s="26">
        <v>0.5363</v>
      </c>
      <c r="H19" s="26">
        <v>0.59330000000000005</v>
      </c>
      <c r="I19" s="26">
        <v>0.20150000000000001</v>
      </c>
      <c r="J19" s="26">
        <v>0.20150000000000001</v>
      </c>
      <c r="K19" s="26">
        <v>0.58150000000000002</v>
      </c>
      <c r="L19" s="26">
        <v>0.54969999999999997</v>
      </c>
      <c r="M19" s="2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>
      <c r="A20" s="439"/>
      <c r="B20" s="25" t="s">
        <v>24</v>
      </c>
      <c r="C20" s="26">
        <v>0.49409999999999998</v>
      </c>
      <c r="D20" s="26">
        <v>0.49969999999999998</v>
      </c>
      <c r="E20" s="26">
        <v>0.495</v>
      </c>
      <c r="F20" s="26">
        <v>0.49409999999999998</v>
      </c>
      <c r="G20" s="26">
        <v>0.49409999999999998</v>
      </c>
      <c r="H20" s="26">
        <v>0.54749999999999999</v>
      </c>
      <c r="I20" s="26">
        <v>0.18509999999999999</v>
      </c>
      <c r="J20" s="26">
        <v>0.18509999999999999</v>
      </c>
      <c r="K20" s="26">
        <v>0.52910000000000001</v>
      </c>
      <c r="L20" s="26">
        <v>0.498</v>
      </c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>
      <c r="A21" s="439"/>
      <c r="B21" s="25" t="s">
        <v>25</v>
      </c>
      <c r="C21" s="26">
        <v>0.53680000000000005</v>
      </c>
      <c r="D21" s="26">
        <v>0.54990000000000006</v>
      </c>
      <c r="E21" s="26">
        <v>0.54</v>
      </c>
      <c r="F21" s="26">
        <v>0.53680000000000005</v>
      </c>
      <c r="G21" s="26">
        <v>0.53680000000000005</v>
      </c>
      <c r="H21" s="26">
        <v>0.59760000000000002</v>
      </c>
      <c r="I21" s="26">
        <v>0.2223</v>
      </c>
      <c r="J21" s="26">
        <v>0.2223</v>
      </c>
      <c r="K21" s="26">
        <v>0.58379999999999999</v>
      </c>
      <c r="L21" s="26">
        <v>0.55000000000000004</v>
      </c>
      <c r="M21" s="27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>
      <c r="A22" s="439"/>
      <c r="B22" s="25" t="s">
        <v>26</v>
      </c>
      <c r="C22" s="26">
        <v>0.48309999999999997</v>
      </c>
      <c r="D22" s="26">
        <v>0.49940000000000001</v>
      </c>
      <c r="E22" s="26">
        <v>0.4844</v>
      </c>
      <c r="F22" s="26">
        <v>0.48309999999999997</v>
      </c>
      <c r="G22" s="26">
        <v>0.48309999999999997</v>
      </c>
      <c r="H22" s="26">
        <v>0.54790000000000005</v>
      </c>
      <c r="I22" s="26">
        <v>0.23169999999999999</v>
      </c>
      <c r="J22" s="26">
        <v>0.23169999999999999</v>
      </c>
      <c r="K22" s="26">
        <v>0.54510000000000003</v>
      </c>
      <c r="L22" s="26">
        <v>0.51680000000000004</v>
      </c>
      <c r="M22" s="27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>
      <c r="A23" s="439"/>
      <c r="B23" s="25" t="s">
        <v>27</v>
      </c>
      <c r="C23" s="26">
        <v>0.49330000000000002</v>
      </c>
      <c r="D23" s="26">
        <v>0.49390000000000001</v>
      </c>
      <c r="E23" s="26">
        <v>0.48259999999999997</v>
      </c>
      <c r="F23" s="26">
        <v>0.49330000000000002</v>
      </c>
      <c r="G23" s="26">
        <v>0.49330000000000002</v>
      </c>
      <c r="H23" s="26">
        <v>0.52859999999999996</v>
      </c>
      <c r="I23" s="26">
        <v>0.26769999999999999</v>
      </c>
      <c r="J23" s="26">
        <v>0.26769999999999999</v>
      </c>
      <c r="K23" s="26">
        <v>0.5524</v>
      </c>
      <c r="L23" s="26">
        <v>0.52839999999999998</v>
      </c>
      <c r="M23" s="2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>
      <c r="A24" s="439"/>
      <c r="B24" s="25" t="s">
        <v>28</v>
      </c>
      <c r="C24" s="26">
        <v>0.48060000000000003</v>
      </c>
      <c r="D24" s="26">
        <v>0.47189999999999999</v>
      </c>
      <c r="E24" s="26">
        <v>0.47349999999999998</v>
      </c>
      <c r="F24" s="26">
        <v>0.48060000000000003</v>
      </c>
      <c r="G24" s="26">
        <v>0.48060000000000003</v>
      </c>
      <c r="H24" s="26">
        <v>0.48599999999999999</v>
      </c>
      <c r="I24" s="26">
        <v>0.30740000000000001</v>
      </c>
      <c r="J24" s="26">
        <v>0.30740000000000001</v>
      </c>
      <c r="K24" s="26">
        <v>0.5363</v>
      </c>
      <c r="L24" s="26">
        <v>0.51639999999999997</v>
      </c>
      <c r="M24" s="2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>
      <c r="A25" s="439"/>
      <c r="B25" s="25" t="s">
        <v>29</v>
      </c>
      <c r="C25" s="26">
        <v>0.45789999999999997</v>
      </c>
      <c r="D25" s="26">
        <v>0.44919999999999999</v>
      </c>
      <c r="E25" s="26">
        <v>0.45529999999999998</v>
      </c>
      <c r="F25" s="26">
        <v>0.45789999999999997</v>
      </c>
      <c r="G25" s="26">
        <v>0.45789999999999997</v>
      </c>
      <c r="H25" s="26">
        <v>0.45279999999999998</v>
      </c>
      <c r="I25" s="26">
        <v>0.3034</v>
      </c>
      <c r="J25" s="26">
        <v>0.3034</v>
      </c>
      <c r="K25" s="26">
        <v>0.51049999999999995</v>
      </c>
      <c r="L25" s="26">
        <v>0.49180000000000001</v>
      </c>
      <c r="M25" s="2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>
      <c r="A26" s="440"/>
      <c r="B26" s="434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>
      <c r="A27" s="439"/>
      <c r="B27" s="31"/>
      <c r="C27" s="30"/>
      <c r="D27" s="30"/>
      <c r="E27" s="11" t="str">
        <f>E9</f>
        <v>Based on average of year 2022, 2023 &amp; 2024 Load Profile Information</v>
      </c>
      <c r="K27" s="30"/>
      <c r="L27" s="30"/>
      <c r="M27" s="30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>
      <c r="A28" s="436" t="s">
        <v>30</v>
      </c>
      <c r="B28" s="12" t="s">
        <v>31</v>
      </c>
      <c r="C28" s="30"/>
      <c r="D28" s="30"/>
      <c r="E28" s="32" t="str">
        <f>"On-Peak periods as defined in specified rate schedule (average of %s for "&amp;(Inputs!D2-4)&amp;", "&amp;(Inputs!D2-3)&amp;" &amp; "&amp;(Inputs!D2-2)&amp;")"</f>
        <v>On-Peak periods as defined in specified rate schedule (average of %s for 2022, 2023 &amp; 2024)</v>
      </c>
      <c r="G28" s="30"/>
      <c r="H28" s="30"/>
      <c r="I28" s="33"/>
      <c r="J28" s="33"/>
      <c r="K28" s="30"/>
      <c r="L28" s="30"/>
      <c r="M28" s="30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>
      <c r="A29" s="439"/>
      <c r="B29" s="3"/>
      <c r="C29" s="16" t="s">
        <v>5</v>
      </c>
      <c r="D29" s="16" t="s">
        <v>5</v>
      </c>
      <c r="E29" s="19"/>
      <c r="F29" s="11"/>
      <c r="G29" s="19"/>
      <c r="H29" s="19"/>
      <c r="I29" s="19"/>
      <c r="J29" s="19"/>
      <c r="K29" s="19"/>
      <c r="L29" s="19"/>
      <c r="M29" s="19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4">
      <c r="A30" s="439"/>
      <c r="B30" s="21" t="s">
        <v>7</v>
      </c>
      <c r="C30" s="22" t="s">
        <v>10</v>
      </c>
      <c r="D30" s="22" t="s">
        <v>17</v>
      </c>
      <c r="E30" s="5"/>
      <c r="F30" s="24"/>
      <c r="G30" s="5"/>
      <c r="H30" s="5"/>
      <c r="I30" s="5"/>
      <c r="J30" s="5"/>
      <c r="K30" s="5"/>
      <c r="L30" s="5"/>
      <c r="M30" s="5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4">
      <c r="A31" s="439"/>
      <c r="B31" s="3"/>
      <c r="C31" s="3"/>
      <c r="D31" s="3"/>
      <c r="G31" s="8"/>
      <c r="H31" s="8"/>
      <c r="I31" s="8"/>
      <c r="J31" s="8"/>
      <c r="K31" s="8"/>
      <c r="L31" s="8"/>
      <c r="M31" s="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4">
      <c r="A32" s="439"/>
      <c r="B32" s="25" t="s">
        <v>18</v>
      </c>
      <c r="C32" s="34">
        <v>0.42070000000000002</v>
      </c>
      <c r="D32" s="35">
        <v>0.46029999999999999</v>
      </c>
      <c r="E32" s="27"/>
      <c r="F32" s="30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32">
      <c r="A33" s="439"/>
      <c r="B33" s="25" t="s">
        <v>19</v>
      </c>
      <c r="C33" s="34">
        <v>0.41270000000000001</v>
      </c>
      <c r="D33" s="35">
        <v>0.46600000000000003</v>
      </c>
      <c r="E33" s="27"/>
      <c r="F33" s="30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32">
      <c r="A34" s="439"/>
      <c r="B34" s="25" t="s">
        <v>20</v>
      </c>
      <c r="C34" s="34">
        <v>0.40820000000000001</v>
      </c>
      <c r="D34" s="35">
        <v>0.46389999999999998</v>
      </c>
      <c r="E34" s="27"/>
      <c r="F34" s="30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32">
      <c r="A35" s="439"/>
      <c r="B35" s="25" t="s">
        <v>21</v>
      </c>
      <c r="C35" s="34">
        <v>0.42249999999999999</v>
      </c>
      <c r="D35" s="35">
        <v>0.46939999999999998</v>
      </c>
      <c r="E35" s="27"/>
      <c r="F35" s="30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32">
      <c r="A36" s="439"/>
      <c r="B36" s="25" t="s">
        <v>22</v>
      </c>
      <c r="C36" s="34">
        <v>0.44969999999999999</v>
      </c>
      <c r="D36" s="35">
        <v>0.48570000000000002</v>
      </c>
      <c r="E36" s="27"/>
      <c r="F36" s="36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32">
      <c r="A37" s="439"/>
      <c r="B37" s="25" t="s">
        <v>23</v>
      </c>
      <c r="C37" s="34">
        <v>0.48110000000000003</v>
      </c>
      <c r="D37" s="35">
        <v>0.4955</v>
      </c>
      <c r="E37" s="27"/>
      <c r="F37" s="36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32">
      <c r="A38" s="439"/>
      <c r="B38" s="25" t="s">
        <v>24</v>
      </c>
      <c r="C38" s="34">
        <v>0.4859</v>
      </c>
      <c r="D38" s="35">
        <v>0.48309999999999997</v>
      </c>
      <c r="E38" s="27"/>
      <c r="F38" s="36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32">
      <c r="A39" s="439"/>
      <c r="B39" s="25" t="s">
        <v>25</v>
      </c>
      <c r="C39" s="34">
        <v>0.4834</v>
      </c>
      <c r="D39" s="35">
        <v>0.48399999999999999</v>
      </c>
      <c r="E39" s="27"/>
      <c r="F39" s="36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32">
      <c r="A40" s="439"/>
      <c r="B40" s="25" t="s">
        <v>26</v>
      </c>
      <c r="C40" s="34">
        <v>0.46679999999999999</v>
      </c>
      <c r="D40" s="35">
        <v>0.48049999999999998</v>
      </c>
      <c r="E40" s="27"/>
      <c r="F40" s="36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32">
      <c r="A41" s="439"/>
      <c r="B41" s="25" t="s">
        <v>27</v>
      </c>
      <c r="C41" s="34">
        <v>0.442</v>
      </c>
      <c r="D41" s="35">
        <v>0.48370000000000002</v>
      </c>
      <c r="E41" s="27"/>
      <c r="F41" s="36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32">
      <c r="A42" s="439"/>
      <c r="B42" s="25" t="s">
        <v>28</v>
      </c>
      <c r="C42" s="34">
        <v>0.42299999999999999</v>
      </c>
      <c r="D42" s="35">
        <v>0.48930000000000001</v>
      </c>
      <c r="E42" s="27"/>
      <c r="F42" s="36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32">
      <c r="A43" s="439"/>
      <c r="B43" s="25" t="s">
        <v>29</v>
      </c>
      <c r="C43" s="34">
        <v>0.41289999999999999</v>
      </c>
      <c r="D43" s="35">
        <v>0.4662</v>
      </c>
      <c r="E43" s="462"/>
      <c r="F43" s="36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spans="1:32">
      <c r="A44" s="440"/>
      <c r="B44" s="37"/>
      <c r="C44" s="30"/>
      <c r="D44" s="30"/>
      <c r="E44" s="463"/>
      <c r="F44" s="30"/>
      <c r="G44" s="30"/>
      <c r="H44" s="30"/>
      <c r="I44" s="33"/>
      <c r="J44" s="33"/>
      <c r="K44" s="30"/>
      <c r="L44" s="30"/>
      <c r="M44" s="30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1:32">
      <c r="A45" s="439"/>
      <c r="B45" s="31"/>
      <c r="C45" s="30"/>
      <c r="D45" s="30"/>
      <c r="E45" s="30"/>
      <c r="F45" s="30"/>
      <c r="G45" s="30"/>
      <c r="H45" s="30"/>
      <c r="I45" s="33"/>
      <c r="J45" s="33"/>
      <c r="K45" s="30"/>
      <c r="L45" s="30"/>
      <c r="M45" s="30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1:32">
      <c r="A46" s="436" t="s">
        <v>32</v>
      </c>
      <c r="B46" s="38" t="s">
        <v>33</v>
      </c>
      <c r="C46" s="5"/>
      <c r="D46" s="5"/>
      <c r="E46" s="5"/>
      <c r="F46" s="5"/>
      <c r="G46" s="5"/>
      <c r="H46" s="5"/>
      <c r="I46" s="5"/>
      <c r="J46" s="5"/>
      <c r="K46" s="5"/>
      <c r="L46" s="5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spans="1:32">
      <c r="A47" s="439"/>
      <c r="B47" s="435" t="str">
        <f>"Calendar month sales forecasted for "&amp;(Inputs!D2-1)&amp;", less % for LPL-Sec &gt; 500 kW Peak Load Share"</f>
        <v>Calendar month sales forecasted for 2025, less % for LPL-Sec &gt; 500 kW Peak Load Share</v>
      </c>
      <c r="G47" s="39"/>
      <c r="L47" s="5"/>
      <c r="N47" s="28"/>
      <c r="O47" s="28"/>
      <c r="P47" s="28"/>
      <c r="Q47" s="28"/>
      <c r="R47" s="28"/>
      <c r="S47" s="28"/>
      <c r="T47" s="28"/>
      <c r="U47" s="28"/>
      <c r="V47" s="28"/>
      <c r="W47" s="28"/>
      <c r="AB47" s="40"/>
    </row>
    <row r="48" spans="1:32">
      <c r="A48" s="439"/>
      <c r="B48" s="17" t="s">
        <v>34</v>
      </c>
      <c r="C48" s="22" t="s">
        <v>8</v>
      </c>
      <c r="D48" s="22" t="s">
        <v>9</v>
      </c>
      <c r="E48" s="22" t="s">
        <v>10</v>
      </c>
      <c r="F48" s="22" t="s">
        <v>11</v>
      </c>
      <c r="G48" s="22" t="s">
        <v>12</v>
      </c>
      <c r="H48" s="22" t="s">
        <v>13</v>
      </c>
      <c r="I48" s="22" t="s">
        <v>14</v>
      </c>
      <c r="J48" s="22" t="s">
        <v>15</v>
      </c>
      <c r="K48" s="22" t="s">
        <v>16</v>
      </c>
      <c r="L48" s="22" t="s">
        <v>17</v>
      </c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5"/>
      <c r="Y48" s="5"/>
      <c r="Z48" s="5"/>
      <c r="AB48" s="40"/>
      <c r="AF48" s="40"/>
    </row>
    <row r="49" spans="1:32">
      <c r="A49" s="439"/>
      <c r="B49" s="3"/>
      <c r="C49" s="22"/>
      <c r="D49" s="22"/>
      <c r="E49" s="22"/>
      <c r="F49" s="22"/>
      <c r="G49" s="22"/>
      <c r="H49" s="22"/>
      <c r="I49" s="22"/>
      <c r="J49" s="22"/>
      <c r="K49" s="22"/>
      <c r="L49" s="22"/>
      <c r="N49" s="28"/>
      <c r="O49" s="28"/>
      <c r="P49" s="28"/>
      <c r="Q49" s="28"/>
      <c r="R49" s="28"/>
      <c r="S49" s="28"/>
      <c r="T49" s="28"/>
      <c r="U49" s="28"/>
      <c r="V49" s="28"/>
      <c r="W49" s="28"/>
      <c r="Y49" s="41"/>
      <c r="AB49" s="40"/>
      <c r="AF49" s="40"/>
    </row>
    <row r="50" spans="1:32">
      <c r="A50" s="439"/>
      <c r="B50" s="25" t="s">
        <v>18</v>
      </c>
      <c r="C50" s="42">
        <v>1241003.8436743093</v>
      </c>
      <c r="D50" s="42">
        <v>12154.925390531822</v>
      </c>
      <c r="E50" s="42">
        <v>14456.854408861696</v>
      </c>
      <c r="F50" s="42">
        <v>24</v>
      </c>
      <c r="G50" s="42">
        <v>1</v>
      </c>
      <c r="H50" s="42">
        <v>1456.4688734030196</v>
      </c>
      <c r="I50" s="42">
        <v>16007</v>
      </c>
      <c r="J50" s="42">
        <v>33689</v>
      </c>
      <c r="K50" s="42">
        <v>533140.57393587544</v>
      </c>
      <c r="L50" s="42">
        <v>627920.18666021258</v>
      </c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41"/>
      <c r="Y50" s="41"/>
      <c r="Z50" s="43"/>
      <c r="AB50" s="44"/>
      <c r="AF50" s="45"/>
    </row>
    <row r="51" spans="1:32">
      <c r="A51" s="439"/>
      <c r="B51" s="25" t="s">
        <v>19</v>
      </c>
      <c r="C51" s="42">
        <v>1000259.3917750381</v>
      </c>
      <c r="D51" s="42">
        <v>9229.0465827203188</v>
      </c>
      <c r="E51" s="42">
        <v>11890.728484059684</v>
      </c>
      <c r="F51" s="42">
        <v>19</v>
      </c>
      <c r="G51" s="42">
        <v>1</v>
      </c>
      <c r="H51" s="42">
        <v>1322.0528025121521</v>
      </c>
      <c r="I51" s="42">
        <v>11363</v>
      </c>
      <c r="J51" s="42">
        <v>27773</v>
      </c>
      <c r="K51" s="42">
        <v>486962.45517886471</v>
      </c>
      <c r="L51" s="42">
        <v>560742.66886287602</v>
      </c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41"/>
      <c r="Y51" s="41"/>
      <c r="Z51" s="43"/>
      <c r="AB51" s="44"/>
      <c r="AD51" s="46"/>
    </row>
    <row r="52" spans="1:32">
      <c r="A52" s="439"/>
      <c r="B52" s="25" t="s">
        <v>20</v>
      </c>
      <c r="C52" s="42">
        <v>979307.01201027271</v>
      </c>
      <c r="D52" s="42">
        <v>7612.5497272216617</v>
      </c>
      <c r="E52" s="42">
        <v>11527.495856016361</v>
      </c>
      <c r="F52" s="42">
        <v>21</v>
      </c>
      <c r="G52" s="42">
        <v>1</v>
      </c>
      <c r="H52" s="42">
        <v>1084.1717296855509</v>
      </c>
      <c r="I52" s="42">
        <v>12009</v>
      </c>
      <c r="J52" s="42">
        <v>31037</v>
      </c>
      <c r="K52" s="42">
        <v>521645.52362982713</v>
      </c>
      <c r="L52" s="42">
        <v>613695.59113895544</v>
      </c>
      <c r="M52" s="47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41"/>
      <c r="Y52" s="41"/>
      <c r="Z52" s="48"/>
      <c r="AB52" s="44"/>
    </row>
    <row r="53" spans="1:32">
      <c r="A53" s="439"/>
      <c r="B53" s="25" t="s">
        <v>21</v>
      </c>
      <c r="C53" s="42">
        <v>819857.47976373206</v>
      </c>
      <c r="D53" s="42">
        <v>4050.0168502662377</v>
      </c>
      <c r="E53" s="42">
        <v>10057.921261156454</v>
      </c>
      <c r="F53" s="42">
        <v>21</v>
      </c>
      <c r="G53" s="42">
        <v>1</v>
      </c>
      <c r="H53" s="42">
        <v>612.83116531165308</v>
      </c>
      <c r="I53" s="42">
        <v>10071</v>
      </c>
      <c r="J53" s="42">
        <v>23847</v>
      </c>
      <c r="K53" s="42">
        <v>454663.19345650577</v>
      </c>
      <c r="L53" s="42">
        <v>530142.68240591499</v>
      </c>
      <c r="M53" s="47"/>
      <c r="N53" s="28"/>
      <c r="O53" s="28"/>
      <c r="P53" s="28"/>
      <c r="Q53" s="28"/>
      <c r="R53" s="28"/>
      <c r="S53" s="28"/>
      <c r="T53" s="28"/>
      <c r="U53" s="28"/>
      <c r="V53" s="28"/>
      <c r="W53" s="28"/>
      <c r="Y53" s="41"/>
      <c r="AB53" s="44"/>
    </row>
    <row r="54" spans="1:32">
      <c r="A54" s="439"/>
      <c r="B54" s="25" t="s">
        <v>22</v>
      </c>
      <c r="C54" s="42">
        <v>893270.24831323198</v>
      </c>
      <c r="D54" s="42">
        <v>2871.2806028006908</v>
      </c>
      <c r="E54" s="42">
        <v>11876.042528747959</v>
      </c>
      <c r="F54" s="42">
        <v>18</v>
      </c>
      <c r="G54" s="42">
        <v>1</v>
      </c>
      <c r="H54" s="42">
        <v>441.27381167462465</v>
      </c>
      <c r="I54" s="42">
        <v>8784</v>
      </c>
      <c r="J54" s="42">
        <v>22335</v>
      </c>
      <c r="K54" s="42">
        <v>456088.19969279272</v>
      </c>
      <c r="L54" s="42">
        <v>582072.18883171945</v>
      </c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41"/>
      <c r="Y54" s="41"/>
      <c r="Z54" s="48"/>
      <c r="AB54" s="44"/>
    </row>
    <row r="55" spans="1:32">
      <c r="A55" s="439"/>
      <c r="B55" s="25" t="s">
        <v>23</v>
      </c>
      <c r="C55" s="42">
        <v>1288316.364953649</v>
      </c>
      <c r="D55" s="42">
        <v>3622.0059216993436</v>
      </c>
      <c r="E55" s="42">
        <v>17758.257162937385</v>
      </c>
      <c r="F55" s="42">
        <v>18</v>
      </c>
      <c r="G55" s="42">
        <v>1</v>
      </c>
      <c r="H55" s="42">
        <v>517.32500967866815</v>
      </c>
      <c r="I55" s="42">
        <v>8414</v>
      </c>
      <c r="J55" s="42">
        <v>19512</v>
      </c>
      <c r="K55" s="42">
        <v>522199.69272171654</v>
      </c>
      <c r="L55" s="42">
        <v>617818.74779222463</v>
      </c>
      <c r="M55" s="47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41"/>
      <c r="Y55" s="41"/>
      <c r="Z55" s="43"/>
      <c r="AB55" s="44"/>
    </row>
    <row r="56" spans="1:32">
      <c r="A56" s="439"/>
      <c r="B56" s="25" t="s">
        <v>24</v>
      </c>
      <c r="C56" s="42">
        <v>1648474.866663716</v>
      </c>
      <c r="D56" s="42">
        <v>4772.4680987128631</v>
      </c>
      <c r="E56" s="42">
        <v>21283.865501438737</v>
      </c>
      <c r="F56" s="42">
        <v>15</v>
      </c>
      <c r="G56" s="42">
        <v>0</v>
      </c>
      <c r="H56" s="42">
        <v>475.76214565320254</v>
      </c>
      <c r="I56" s="42">
        <v>8404</v>
      </c>
      <c r="J56" s="42">
        <v>18630</v>
      </c>
      <c r="K56" s="42">
        <v>581742.08292805322</v>
      </c>
      <c r="L56" s="42">
        <v>679340.19715479214</v>
      </c>
      <c r="M56" s="47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41"/>
      <c r="Y56" s="41"/>
      <c r="Z56" s="48"/>
      <c r="AB56" s="44"/>
    </row>
    <row r="57" spans="1:32">
      <c r="A57" s="439"/>
      <c r="B57" s="25" t="s">
        <v>25</v>
      </c>
      <c r="C57" s="42">
        <v>1569321.8678781567</v>
      </c>
      <c r="D57" s="42">
        <v>4410.7549905162396</v>
      </c>
      <c r="E57" s="42">
        <v>19454.974533285302</v>
      </c>
      <c r="F57" s="42">
        <v>14</v>
      </c>
      <c r="G57" s="42">
        <v>0</v>
      </c>
      <c r="H57" s="42">
        <v>565.07808749516062</v>
      </c>
      <c r="I57" s="42">
        <v>9656</v>
      </c>
      <c r="J57" s="42">
        <v>19365</v>
      </c>
      <c r="K57" s="42">
        <v>590332.58348581777</v>
      </c>
      <c r="L57" s="42">
        <v>705895.18407673261</v>
      </c>
      <c r="M57" s="47"/>
      <c r="N57" s="28"/>
      <c r="O57" s="28"/>
      <c r="P57" s="28"/>
      <c r="Q57" s="28"/>
      <c r="R57" s="28"/>
      <c r="S57" s="28"/>
      <c r="T57" s="28"/>
      <c r="U57" s="28"/>
      <c r="V57" s="28"/>
      <c r="W57" s="28"/>
      <c r="AB57" s="44"/>
    </row>
    <row r="58" spans="1:32">
      <c r="A58" s="439"/>
      <c r="B58" s="25" t="s">
        <v>26</v>
      </c>
      <c r="C58" s="42">
        <v>1083729.5772168648</v>
      </c>
      <c r="D58" s="42">
        <v>3076.9988395378541</v>
      </c>
      <c r="E58" s="42">
        <v>14671.269356412875</v>
      </c>
      <c r="F58" s="42">
        <v>19</v>
      </c>
      <c r="G58" s="42">
        <v>0</v>
      </c>
      <c r="H58" s="42">
        <v>585.41736137996304</v>
      </c>
      <c r="I58" s="42">
        <v>10707</v>
      </c>
      <c r="J58" s="42">
        <v>22518</v>
      </c>
      <c r="K58" s="42">
        <v>512360.11262350285</v>
      </c>
      <c r="L58" s="42">
        <v>601807.59852081165</v>
      </c>
      <c r="M58" s="47"/>
      <c r="N58" s="28"/>
      <c r="O58" s="28"/>
      <c r="P58" s="28"/>
      <c r="Q58" s="28"/>
      <c r="R58" s="28"/>
      <c r="S58" s="28"/>
      <c r="T58" s="28"/>
      <c r="U58" s="28"/>
      <c r="V58" s="28"/>
      <c r="W58" s="28"/>
      <c r="AB58" s="44"/>
    </row>
    <row r="59" spans="1:32">
      <c r="A59" s="439"/>
      <c r="B59" s="25" t="s">
        <v>27</v>
      </c>
      <c r="C59" s="42">
        <v>858721.96700011683</v>
      </c>
      <c r="D59" s="42">
        <v>4338.6073624662395</v>
      </c>
      <c r="E59" s="42">
        <v>10135.26729246487</v>
      </c>
      <c r="F59" s="42">
        <v>19</v>
      </c>
      <c r="G59" s="42">
        <v>0</v>
      </c>
      <c r="H59" s="42">
        <v>446.57970920979051</v>
      </c>
      <c r="I59" s="42">
        <v>12013</v>
      </c>
      <c r="J59" s="42">
        <v>24926</v>
      </c>
      <c r="K59" s="42">
        <v>471350.72019020963</v>
      </c>
      <c r="L59" s="42">
        <v>594201.28878634726</v>
      </c>
      <c r="M59" s="47"/>
      <c r="N59" s="28"/>
      <c r="O59" s="28"/>
      <c r="P59" s="28"/>
      <c r="Q59" s="28"/>
      <c r="R59" s="28"/>
      <c r="S59" s="28"/>
      <c r="T59" s="28"/>
      <c r="U59" s="28"/>
      <c r="V59" s="28"/>
      <c r="W59" s="28"/>
      <c r="AB59" s="44"/>
    </row>
    <row r="60" spans="1:32">
      <c r="A60" s="439"/>
      <c r="B60" s="25" t="s">
        <v>28</v>
      </c>
      <c r="C60" s="42">
        <v>876219.22441367141</v>
      </c>
      <c r="D60" s="42">
        <v>6786.7518764331444</v>
      </c>
      <c r="E60" s="42">
        <v>9773.0137281089974</v>
      </c>
      <c r="F60" s="42">
        <v>23</v>
      </c>
      <c r="G60" s="42">
        <v>1</v>
      </c>
      <c r="H60" s="42">
        <v>626.09590914956766</v>
      </c>
      <c r="I60" s="42">
        <v>12924</v>
      </c>
      <c r="J60" s="42">
        <v>25965</v>
      </c>
      <c r="K60" s="42">
        <v>444445.37096224062</v>
      </c>
      <c r="L60" s="42">
        <v>551871.83594165253</v>
      </c>
      <c r="M60" s="47"/>
      <c r="N60" s="28"/>
      <c r="O60" s="28"/>
      <c r="P60" s="28"/>
      <c r="Q60" s="28"/>
      <c r="R60" s="28"/>
      <c r="S60" s="28"/>
      <c r="T60" s="28"/>
      <c r="U60" s="28"/>
      <c r="V60" s="28"/>
      <c r="W60" s="28"/>
      <c r="AB60" s="44"/>
    </row>
    <row r="61" spans="1:32">
      <c r="A61" s="439"/>
      <c r="B61" s="25" t="s">
        <v>29</v>
      </c>
      <c r="C61" s="42">
        <v>1135420.090598335</v>
      </c>
      <c r="D61" s="42">
        <v>9615.1338895824829</v>
      </c>
      <c r="E61" s="42">
        <v>12537.889581463014</v>
      </c>
      <c r="F61" s="42">
        <v>22</v>
      </c>
      <c r="G61" s="42">
        <v>1</v>
      </c>
      <c r="H61" s="42">
        <v>1105.3953198262141</v>
      </c>
      <c r="I61" s="42">
        <v>14368</v>
      </c>
      <c r="J61" s="42">
        <v>31117</v>
      </c>
      <c r="K61" s="42">
        <v>525287.20623367163</v>
      </c>
      <c r="L61" s="42">
        <v>604969.27515336149</v>
      </c>
      <c r="M61" s="461"/>
      <c r="N61" s="28"/>
      <c r="O61" s="28"/>
      <c r="P61" s="28"/>
      <c r="Q61" s="28"/>
      <c r="R61" s="28"/>
      <c r="S61" s="28"/>
      <c r="T61" s="28"/>
      <c r="U61" s="28"/>
      <c r="V61" s="28"/>
      <c r="W61" s="28"/>
      <c r="AB61" s="44"/>
    </row>
    <row r="62" spans="1:32">
      <c r="A62" s="440"/>
      <c r="B62" s="37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61"/>
      <c r="N62" s="28"/>
      <c r="O62" s="28"/>
      <c r="P62" s="28"/>
      <c r="Q62" s="28"/>
      <c r="R62" s="28"/>
      <c r="S62" s="28"/>
      <c r="T62" s="28"/>
      <c r="U62" s="28"/>
      <c r="V62" s="28"/>
      <c r="W62" s="28"/>
      <c r="AB62" s="41"/>
    </row>
    <row r="63" spans="1:32" s="54" customFormat="1" ht="11.75">
      <c r="A63" s="440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2"/>
      <c r="N63" s="53"/>
      <c r="O63" s="53"/>
      <c r="P63" s="53"/>
      <c r="Q63" s="53"/>
      <c r="R63" s="53"/>
      <c r="S63" s="53"/>
      <c r="T63" s="53"/>
      <c r="U63" s="53"/>
      <c r="V63" s="53"/>
      <c r="W63" s="53"/>
      <c r="AB63" s="55"/>
    </row>
    <row r="64" spans="1:32">
      <c r="A64" s="439"/>
      <c r="B64" s="10" t="s">
        <v>35</v>
      </c>
      <c r="C64" s="56" t="s">
        <v>36</v>
      </c>
      <c r="D64" s="56" t="s">
        <v>36</v>
      </c>
      <c r="L64" s="41"/>
      <c r="M64" s="57"/>
      <c r="N64" s="28"/>
      <c r="O64" s="28"/>
      <c r="P64" s="28"/>
      <c r="Q64" s="28"/>
      <c r="R64" s="28"/>
      <c r="S64" s="28"/>
      <c r="T64" s="28"/>
      <c r="U64" s="28"/>
      <c r="V64" s="28"/>
      <c r="W64" s="28"/>
      <c r="Y64" s="5"/>
      <c r="Z64" s="5"/>
      <c r="AB64" s="58"/>
    </row>
    <row r="65" spans="1:26">
      <c r="A65" s="439"/>
      <c r="B65" s="59"/>
      <c r="C65" s="60" t="s">
        <v>37</v>
      </c>
      <c r="D65" s="60" t="s">
        <v>38</v>
      </c>
      <c r="E65" s="61"/>
      <c r="F65" s="61"/>
      <c r="G65" s="61"/>
      <c r="H65" s="61"/>
      <c r="I65" s="61"/>
      <c r="J65" s="61"/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spans="1:26">
      <c r="A66" s="439"/>
      <c r="C66" s="62">
        <v>0.29615722549061424</v>
      </c>
      <c r="D66" s="62">
        <v>0.28303013209232364</v>
      </c>
      <c r="E66" s="464"/>
      <c r="F66" s="61"/>
      <c r="G66" s="61"/>
      <c r="H66" s="61"/>
      <c r="I66" s="61"/>
      <c r="J66" s="61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spans="1:26">
      <c r="A67" s="440"/>
      <c r="B67" s="37"/>
      <c r="C67" s="61"/>
      <c r="D67" s="61"/>
      <c r="E67" s="465"/>
      <c r="F67" s="61"/>
      <c r="G67" s="61"/>
      <c r="H67" s="61"/>
      <c r="I67" s="61"/>
      <c r="J67" s="61"/>
      <c r="K67" s="61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spans="1:26">
      <c r="A68" s="439"/>
      <c r="C68" s="61"/>
      <c r="D68" s="61"/>
      <c r="E68" s="61"/>
      <c r="F68" s="61"/>
      <c r="G68" s="61"/>
      <c r="H68" s="61"/>
      <c r="I68" s="61"/>
      <c r="J68" s="61"/>
      <c r="K68" s="61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spans="1:26">
      <c r="A69" s="439"/>
      <c r="B69" s="10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spans="1:26">
      <c r="A70" s="468" t="s">
        <v>39</v>
      </c>
      <c r="B70" s="10" t="s">
        <v>40</v>
      </c>
      <c r="E70" s="467" t="s">
        <v>41</v>
      </c>
      <c r="F70" s="10" t="s">
        <v>42</v>
      </c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spans="1:26">
      <c r="A71" s="439"/>
      <c r="B71" s="11" t="s">
        <v>43</v>
      </c>
      <c r="C71" s="63"/>
      <c r="E71" s="64"/>
      <c r="F71" s="5" t="s">
        <v>44</v>
      </c>
      <c r="G71" s="65"/>
      <c r="H71" s="11"/>
      <c r="I71" s="11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66"/>
      <c r="Y71" s="41"/>
      <c r="Z71" s="43"/>
    </row>
    <row r="72" spans="1:26">
      <c r="A72" s="439"/>
      <c r="B72" s="65"/>
      <c r="C72" s="5" t="s">
        <v>45</v>
      </c>
      <c r="F72" s="5" t="s">
        <v>46</v>
      </c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41"/>
      <c r="Y72" s="41"/>
      <c r="Z72" s="48"/>
    </row>
    <row r="73" spans="1:26" ht="13.25">
      <c r="A73" s="439"/>
      <c r="B73" s="25" t="s">
        <v>18</v>
      </c>
      <c r="C73" s="469">
        <v>94.45</v>
      </c>
      <c r="E73" s="67" t="s">
        <v>47</v>
      </c>
      <c r="F73" s="466">
        <v>0.56210462847683385</v>
      </c>
      <c r="I73" s="69"/>
      <c r="K73" s="11"/>
      <c r="N73" s="28"/>
      <c r="O73" s="28"/>
      <c r="P73" s="28"/>
      <c r="Q73" s="28"/>
      <c r="R73" s="28"/>
      <c r="S73" s="28"/>
      <c r="T73" s="28"/>
      <c r="U73" s="28"/>
      <c r="V73" s="28"/>
      <c r="W73" s="28"/>
      <c r="Y73" s="41"/>
    </row>
    <row r="74" spans="1:26" ht="13.25">
      <c r="A74" s="439"/>
      <c r="B74" s="25" t="s">
        <v>19</v>
      </c>
      <c r="C74" s="469">
        <v>80.349999999999994</v>
      </c>
      <c r="D74" s="70"/>
      <c r="E74" s="67" t="s">
        <v>48</v>
      </c>
      <c r="F74" s="466">
        <v>0.80137102413589023</v>
      </c>
      <c r="I74" s="69"/>
      <c r="K74" s="11"/>
      <c r="N74" s="28"/>
      <c r="O74" s="28"/>
      <c r="P74" s="28"/>
      <c r="Q74" s="28"/>
      <c r="R74" s="28"/>
      <c r="S74" s="28"/>
      <c r="T74" s="28"/>
      <c r="U74" s="28"/>
      <c r="V74" s="28"/>
      <c r="W74" s="28"/>
      <c r="Y74" s="41"/>
    </row>
    <row r="75" spans="1:26">
      <c r="A75" s="439"/>
      <c r="B75" s="25" t="s">
        <v>20</v>
      </c>
      <c r="C75" s="469">
        <v>58.05</v>
      </c>
      <c r="D75" s="70"/>
      <c r="E75" s="71"/>
      <c r="H75" s="72"/>
      <c r="I75" s="73"/>
      <c r="J75" s="11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66"/>
      <c r="Y75" s="41"/>
      <c r="Z75" s="43"/>
    </row>
    <row r="76" spans="1:26">
      <c r="A76" s="439"/>
      <c r="B76" s="25" t="s">
        <v>21</v>
      </c>
      <c r="C76" s="469">
        <v>55.8</v>
      </c>
      <c r="D76" s="70"/>
      <c r="E76" s="71"/>
      <c r="H76" s="72"/>
      <c r="I76" s="73"/>
      <c r="J76" s="11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41"/>
      <c r="Y76" s="41"/>
      <c r="Z76" s="48"/>
    </row>
    <row r="77" spans="1:26">
      <c r="A77" s="439"/>
      <c r="B77" s="25" t="s">
        <v>22</v>
      </c>
      <c r="C77" s="469">
        <v>56.4</v>
      </c>
      <c r="D77" s="70"/>
      <c r="E77" s="71"/>
      <c r="H77" s="72"/>
      <c r="I77" s="73"/>
      <c r="N77" s="28"/>
      <c r="O77" s="28"/>
      <c r="P77" s="28"/>
      <c r="Q77" s="28"/>
      <c r="R77" s="28"/>
      <c r="S77" s="28"/>
      <c r="T77" s="28"/>
      <c r="U77" s="28"/>
      <c r="V77" s="28"/>
      <c r="W77" s="28"/>
      <c r="Y77" s="41"/>
    </row>
    <row r="78" spans="1:26">
      <c r="A78" s="439"/>
      <c r="B78" s="25" t="s">
        <v>23</v>
      </c>
      <c r="C78" s="469">
        <v>64.25</v>
      </c>
      <c r="E78" s="64"/>
      <c r="F78" s="499" t="s">
        <v>49</v>
      </c>
      <c r="G78" s="500"/>
      <c r="I78" s="69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41"/>
      <c r="Y78" s="41"/>
      <c r="Z78" s="43"/>
    </row>
    <row r="79" spans="1:26">
      <c r="A79" s="439"/>
      <c r="B79" s="25" t="s">
        <v>24</v>
      </c>
      <c r="C79" s="469">
        <v>93.55</v>
      </c>
      <c r="D79" s="74"/>
      <c r="E79" s="22"/>
      <c r="F79" s="22" t="s">
        <v>45</v>
      </c>
      <c r="G79" s="22" t="s">
        <v>50</v>
      </c>
      <c r="H79" s="75"/>
      <c r="I79" s="69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41"/>
      <c r="Y79" s="41"/>
      <c r="Z79" s="48"/>
    </row>
    <row r="80" spans="1:26" ht="13.25">
      <c r="A80" s="439"/>
      <c r="B80" s="25" t="s">
        <v>25</v>
      </c>
      <c r="C80" s="469">
        <v>80.150000000000006</v>
      </c>
      <c r="D80" s="74"/>
      <c r="E80" s="67" t="s">
        <v>47</v>
      </c>
      <c r="F80" s="470">
        <v>0.7989392705123165</v>
      </c>
      <c r="G80" s="470">
        <v>0.85640522538039299</v>
      </c>
      <c r="H80" s="75"/>
      <c r="I80" s="69"/>
      <c r="N80" s="28"/>
      <c r="O80" s="28"/>
      <c r="P80" s="28"/>
      <c r="Q80" s="28"/>
      <c r="R80" s="28"/>
      <c r="S80" s="28"/>
      <c r="T80" s="28"/>
      <c r="U80" s="28"/>
      <c r="V80" s="28"/>
      <c r="W80" s="28"/>
    </row>
    <row r="81" spans="1:23" ht="13.25">
      <c r="A81" s="439"/>
      <c r="B81" s="25" t="s">
        <v>26</v>
      </c>
      <c r="C81" s="469">
        <v>62.4</v>
      </c>
      <c r="D81" s="74"/>
      <c r="E81" s="67" t="s">
        <v>48</v>
      </c>
      <c r="F81" s="470">
        <v>0.8243776305624626</v>
      </c>
      <c r="G81" s="470">
        <v>0.87804642128526678</v>
      </c>
      <c r="H81" s="75"/>
      <c r="I81" s="69"/>
      <c r="N81" s="28"/>
      <c r="O81" s="28"/>
      <c r="P81" s="28"/>
      <c r="Q81" s="28"/>
      <c r="R81" s="28"/>
      <c r="S81" s="28"/>
      <c r="T81" s="28"/>
      <c r="U81" s="28"/>
      <c r="V81" s="28"/>
      <c r="W81" s="28"/>
    </row>
    <row r="82" spans="1:23">
      <c r="A82" s="439"/>
      <c r="B82" s="25" t="s">
        <v>27</v>
      </c>
      <c r="C82" s="469">
        <v>60.85</v>
      </c>
      <c r="D82" s="74"/>
      <c r="E82" s="71"/>
      <c r="F82" s="65"/>
      <c r="H82" s="72"/>
      <c r="I82" s="73"/>
      <c r="N82" s="28"/>
      <c r="O82" s="28"/>
      <c r="P82" s="28"/>
      <c r="Q82" s="28"/>
      <c r="R82" s="28"/>
      <c r="S82" s="28"/>
      <c r="T82" s="28"/>
      <c r="U82" s="28"/>
      <c r="V82" s="28"/>
      <c r="W82" s="28"/>
    </row>
    <row r="83" spans="1:23">
      <c r="A83" s="439"/>
      <c r="B83" s="25" t="s">
        <v>28</v>
      </c>
      <c r="C83" s="469">
        <v>59.5</v>
      </c>
      <c r="D83" s="70"/>
      <c r="E83" s="71"/>
      <c r="H83" s="72"/>
      <c r="I83" s="73"/>
      <c r="N83" s="28"/>
      <c r="O83" s="28"/>
      <c r="P83" s="28"/>
      <c r="Q83" s="28"/>
      <c r="R83" s="28"/>
      <c r="S83" s="28"/>
      <c r="T83" s="28"/>
      <c r="U83" s="28"/>
      <c r="V83" s="28"/>
      <c r="W83" s="28"/>
    </row>
    <row r="84" spans="1:23">
      <c r="A84" s="439"/>
      <c r="B84" s="25" t="s">
        <v>29</v>
      </c>
      <c r="C84" s="469">
        <v>67.900000000000006</v>
      </c>
      <c r="D84" s="70"/>
      <c r="E84" s="71"/>
      <c r="H84" s="72"/>
      <c r="I84" s="73"/>
      <c r="N84" s="28"/>
      <c r="O84" s="28"/>
      <c r="P84" s="28"/>
      <c r="Q84" s="28"/>
      <c r="R84" s="28"/>
      <c r="S84" s="28"/>
      <c r="T84" s="28"/>
      <c r="U84" s="28"/>
      <c r="V84" s="28"/>
      <c r="W84" s="28"/>
    </row>
    <row r="85" spans="1:23">
      <c r="A85" s="439"/>
      <c r="B85" s="31"/>
      <c r="C85" s="76"/>
      <c r="D85" s="76"/>
      <c r="G85" s="33"/>
      <c r="K85" s="33"/>
      <c r="N85" s="28"/>
      <c r="O85" s="28"/>
      <c r="P85" s="28"/>
      <c r="Q85" s="28"/>
      <c r="R85" s="28"/>
      <c r="S85" s="28"/>
      <c r="T85" s="28"/>
      <c r="U85" s="28"/>
      <c r="V85" s="28"/>
      <c r="W85" s="28"/>
    </row>
    <row r="86" spans="1:23">
      <c r="A86" s="439"/>
      <c r="B86" s="77"/>
      <c r="C86" s="77"/>
      <c r="D86" s="76"/>
      <c r="G86" s="33"/>
      <c r="K86" s="33"/>
      <c r="N86" s="28"/>
      <c r="O86" s="28"/>
      <c r="P86" s="28"/>
      <c r="Q86" s="28"/>
      <c r="R86" s="28"/>
      <c r="S86" s="28"/>
      <c r="T86" s="28"/>
      <c r="U86" s="28"/>
      <c r="V86" s="28"/>
      <c r="W86" s="28"/>
    </row>
    <row r="87" spans="1:23">
      <c r="A87" s="439"/>
      <c r="E87" s="78"/>
      <c r="F87" s="78"/>
      <c r="G87" s="78"/>
      <c r="H87" s="78"/>
      <c r="I87" s="78"/>
      <c r="J87" s="78"/>
      <c r="K87" s="78"/>
      <c r="L87" s="78"/>
      <c r="M87" s="78"/>
      <c r="N87" s="28"/>
      <c r="O87" s="28"/>
      <c r="P87" s="28"/>
      <c r="Q87" s="28"/>
      <c r="R87" s="28"/>
      <c r="S87" s="28"/>
      <c r="T87" s="28"/>
      <c r="U87" s="28"/>
      <c r="V87" s="28"/>
      <c r="W87" s="28"/>
    </row>
    <row r="88" spans="1:23">
      <c r="A88" s="436" t="s">
        <v>51</v>
      </c>
      <c r="B88" s="3" t="s">
        <v>52</v>
      </c>
      <c r="C88" s="3" t="s">
        <v>53</v>
      </c>
      <c r="D88" s="3" t="s">
        <v>54</v>
      </c>
      <c r="E88" s="78"/>
      <c r="F88" s="78"/>
      <c r="G88" s="78"/>
      <c r="H88" s="78"/>
      <c r="I88" s="78"/>
      <c r="J88" s="78"/>
      <c r="K88" s="78"/>
      <c r="L88" s="78"/>
      <c r="M88" s="78"/>
      <c r="N88" s="28"/>
      <c r="O88" s="28"/>
      <c r="P88" s="28"/>
      <c r="Q88" s="28"/>
      <c r="R88" s="28"/>
      <c r="S88" s="28"/>
      <c r="T88" s="28"/>
      <c r="U88" s="28"/>
      <c r="V88" s="28"/>
      <c r="W88" s="28"/>
    </row>
    <row r="89" spans="1:23">
      <c r="A89" s="439"/>
      <c r="B89" s="3" t="s">
        <v>55</v>
      </c>
      <c r="C89" s="79">
        <v>5.8326999999999997E-2</v>
      </c>
      <c r="D89" s="449" t="s">
        <v>416</v>
      </c>
      <c r="E89" s="80"/>
      <c r="F89" s="80"/>
      <c r="G89" s="80"/>
      <c r="H89" s="80"/>
      <c r="I89" s="80"/>
      <c r="J89" s="80"/>
      <c r="K89" s="80"/>
      <c r="L89" s="80"/>
      <c r="M89" s="78"/>
      <c r="N89" s="28"/>
      <c r="O89" s="28"/>
      <c r="P89" s="28"/>
      <c r="Q89" s="28"/>
      <c r="R89" s="28"/>
      <c r="S89" s="28"/>
      <c r="T89" s="28"/>
      <c r="U89" s="28"/>
      <c r="V89" s="28"/>
      <c r="W89" s="28"/>
    </row>
    <row r="90" spans="1:23">
      <c r="A90" s="439"/>
      <c r="B90" s="3" t="s">
        <v>56</v>
      </c>
      <c r="C90" s="79">
        <v>4.5599999999999998E-3</v>
      </c>
      <c r="D90" s="449" t="s">
        <v>57</v>
      </c>
      <c r="E90" s="81"/>
      <c r="F90" s="81"/>
      <c r="G90" s="81"/>
      <c r="H90" s="81"/>
      <c r="I90" s="81"/>
      <c r="J90" s="81"/>
      <c r="K90" s="81"/>
      <c r="L90" s="81"/>
      <c r="M90" s="78"/>
      <c r="N90" s="28"/>
      <c r="O90" s="28"/>
      <c r="P90" s="28"/>
      <c r="Q90" s="28"/>
      <c r="R90" s="28"/>
      <c r="S90" s="28"/>
      <c r="T90" s="28"/>
      <c r="U90" s="28"/>
      <c r="V90" s="28"/>
      <c r="W90" s="28"/>
    </row>
    <row r="91" spans="1:23">
      <c r="A91" s="439"/>
      <c r="B91" s="3" t="s">
        <v>58</v>
      </c>
      <c r="C91" s="82">
        <v>1.3768262128193421E-2</v>
      </c>
      <c r="D91" s="491" t="s">
        <v>426</v>
      </c>
      <c r="E91" s="492"/>
      <c r="F91" s="81"/>
      <c r="G91" s="81"/>
      <c r="H91" s="81"/>
      <c r="I91" s="81"/>
      <c r="J91" s="81"/>
      <c r="K91" s="81"/>
      <c r="L91" s="81"/>
      <c r="M91" s="78"/>
      <c r="N91" s="28"/>
      <c r="O91" s="28"/>
      <c r="P91" s="28"/>
      <c r="Q91" s="28"/>
      <c r="R91" s="28"/>
      <c r="S91" s="28"/>
      <c r="T91" s="28"/>
      <c r="U91" s="28"/>
      <c r="V91" s="28"/>
      <c r="W91" s="28"/>
    </row>
    <row r="92" spans="1:23">
      <c r="A92" s="439"/>
      <c r="C92" s="83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28"/>
      <c r="O92" s="28"/>
      <c r="P92" s="28"/>
      <c r="Q92" s="28"/>
      <c r="R92" s="28"/>
      <c r="S92" s="28"/>
      <c r="T92" s="28"/>
      <c r="U92" s="28"/>
      <c r="V92" s="28"/>
      <c r="W92" s="28"/>
    </row>
    <row r="93" spans="1:23">
      <c r="A93" s="439"/>
      <c r="N93" s="28"/>
      <c r="O93" s="28"/>
      <c r="P93" s="28"/>
      <c r="Q93" s="28"/>
      <c r="R93" s="28"/>
      <c r="S93" s="28"/>
      <c r="T93" s="28"/>
      <c r="U93" s="28"/>
      <c r="V93" s="28"/>
      <c r="W93" s="28"/>
    </row>
    <row r="94" spans="1:23">
      <c r="A94" s="439"/>
      <c r="N94" s="28"/>
      <c r="O94" s="28"/>
      <c r="P94" s="28"/>
      <c r="Q94" s="28"/>
      <c r="R94" s="28"/>
      <c r="S94" s="28"/>
      <c r="T94" s="28"/>
      <c r="U94" s="28"/>
      <c r="V94" s="28"/>
      <c r="W94" s="28"/>
    </row>
    <row r="95" spans="1:23">
      <c r="A95" s="439"/>
      <c r="N95" s="28"/>
      <c r="O95" s="28"/>
      <c r="P95" s="28"/>
      <c r="Q95" s="28"/>
      <c r="R95" s="28"/>
      <c r="S95" s="28"/>
      <c r="T95" s="28"/>
      <c r="U95" s="28"/>
      <c r="V95" s="28"/>
      <c r="W95" s="28"/>
    </row>
    <row r="96" spans="1:23">
      <c r="A96" s="468" t="s">
        <v>59</v>
      </c>
      <c r="B96" s="10" t="s">
        <v>60</v>
      </c>
      <c r="L96" s="5"/>
      <c r="N96" s="28"/>
      <c r="O96" s="28"/>
      <c r="P96" s="28"/>
      <c r="Q96" s="28"/>
      <c r="R96" s="28"/>
      <c r="S96" s="28"/>
      <c r="T96" s="28"/>
      <c r="U96" s="28"/>
      <c r="V96" s="28"/>
      <c r="W96" s="28"/>
    </row>
    <row r="97" spans="1:23">
      <c r="A97" s="439"/>
      <c r="B97" s="64" t="s">
        <v>61</v>
      </c>
      <c r="L97" s="5"/>
      <c r="N97" s="28"/>
      <c r="O97" s="28"/>
      <c r="P97" s="28"/>
      <c r="Q97" s="28"/>
      <c r="R97" s="28"/>
      <c r="S97" s="28"/>
      <c r="T97" s="28"/>
      <c r="U97" s="28"/>
      <c r="V97" s="28"/>
      <c r="W97" s="28"/>
    </row>
    <row r="98" spans="1:23">
      <c r="A98" s="439"/>
      <c r="B98" s="11" t="s">
        <v>62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28"/>
      <c r="O98" s="28"/>
      <c r="P98" s="28"/>
      <c r="Q98" s="28"/>
      <c r="R98" s="28"/>
      <c r="S98" s="28"/>
      <c r="T98" s="28"/>
      <c r="U98" s="28"/>
      <c r="V98" s="28"/>
      <c r="W98" s="28"/>
    </row>
    <row r="99" spans="1:23" ht="12.75" customHeight="1">
      <c r="A99" s="439"/>
      <c r="B99" s="11"/>
      <c r="C99" s="5"/>
      <c r="D99" s="5"/>
      <c r="E99" s="5"/>
      <c r="F99" s="5"/>
      <c r="G99" s="5"/>
      <c r="H99" s="5"/>
      <c r="I99" s="5"/>
      <c r="J99" s="5"/>
      <c r="K99" s="5"/>
      <c r="M99" s="5"/>
      <c r="N99" s="28"/>
      <c r="O99" s="28"/>
      <c r="P99" s="28"/>
      <c r="Q99" s="28"/>
      <c r="R99" s="28"/>
      <c r="S99" s="28"/>
      <c r="T99" s="28"/>
      <c r="U99" s="28"/>
      <c r="V99" s="28"/>
      <c r="W99" s="28"/>
    </row>
    <row r="100" spans="1:23">
      <c r="A100" s="441"/>
      <c r="B100" s="3"/>
      <c r="C100" s="22" t="s">
        <v>8</v>
      </c>
      <c r="D100" s="22" t="s">
        <v>9</v>
      </c>
      <c r="E100" s="22" t="s">
        <v>10</v>
      </c>
      <c r="F100" s="22" t="s">
        <v>11</v>
      </c>
      <c r="G100" s="22" t="s">
        <v>12</v>
      </c>
      <c r="H100" s="22" t="s">
        <v>13</v>
      </c>
      <c r="I100" s="22" t="s">
        <v>14</v>
      </c>
      <c r="J100" s="22" t="s">
        <v>15</v>
      </c>
      <c r="K100" s="22" t="s">
        <v>16</v>
      </c>
      <c r="L100" s="22" t="s">
        <v>17</v>
      </c>
      <c r="N100" s="28"/>
      <c r="O100" s="28"/>
      <c r="P100" s="28"/>
      <c r="Q100" s="28"/>
      <c r="R100" s="28"/>
      <c r="S100" s="28"/>
      <c r="T100" s="28"/>
      <c r="U100" s="28"/>
      <c r="V100" s="28"/>
      <c r="W100" s="28"/>
    </row>
    <row r="101" spans="1:23">
      <c r="A101" s="442"/>
      <c r="B101" s="85" t="s">
        <v>63</v>
      </c>
      <c r="C101" s="86">
        <v>4629.5728375434073</v>
      </c>
      <c r="D101" s="86">
        <v>13.082147866763224</v>
      </c>
      <c r="E101" s="86">
        <v>64.623468975916651</v>
      </c>
      <c r="F101" s="86">
        <v>0</v>
      </c>
      <c r="G101" s="86">
        <v>0</v>
      </c>
      <c r="H101" s="86">
        <v>1.5165110008062068</v>
      </c>
      <c r="I101" s="86">
        <v>0</v>
      </c>
      <c r="J101" s="86">
        <v>0</v>
      </c>
      <c r="K101" s="86">
        <v>1538.0306361815803</v>
      </c>
      <c r="L101" s="86">
        <v>1383.0516178720507</v>
      </c>
      <c r="M101" s="87">
        <f>SUM(C101:L101)</f>
        <v>7629.8772194405246</v>
      </c>
      <c r="N101" s="28"/>
      <c r="O101" s="28"/>
      <c r="P101" s="28"/>
      <c r="Q101" s="28"/>
      <c r="R101" s="28"/>
      <c r="S101" s="28"/>
      <c r="T101" s="28"/>
      <c r="U101" s="28"/>
      <c r="V101" s="28"/>
      <c r="W101" s="28"/>
    </row>
    <row r="102" spans="1:23">
      <c r="A102" s="320"/>
      <c r="B102" s="85" t="s">
        <v>64</v>
      </c>
      <c r="C102" s="88">
        <v>4956.4021044689507</v>
      </c>
      <c r="D102" s="88">
        <v>13.84525330832356</v>
      </c>
      <c r="E102" s="88">
        <v>68.064355473561761</v>
      </c>
      <c r="F102" s="88">
        <v>0</v>
      </c>
      <c r="G102" s="88">
        <v>0</v>
      </c>
      <c r="H102" s="88">
        <v>1.5690983023498113</v>
      </c>
      <c r="I102" s="88">
        <v>0</v>
      </c>
      <c r="J102" s="88">
        <v>0</v>
      </c>
      <c r="K102" s="88">
        <v>1546.3133706271058</v>
      </c>
      <c r="L102" s="88">
        <v>1414.6831457144353</v>
      </c>
      <c r="M102" s="87">
        <f>SUM(C102:L102)</f>
        <v>8000.8773278947265</v>
      </c>
      <c r="N102" s="28"/>
      <c r="O102" s="28"/>
      <c r="P102" s="28"/>
      <c r="Q102" s="28"/>
      <c r="R102" s="28"/>
      <c r="S102" s="28"/>
      <c r="T102" s="28"/>
      <c r="U102" s="28"/>
      <c r="V102" s="28"/>
      <c r="W102" s="28"/>
    </row>
    <row r="103" spans="1:23">
      <c r="A103" s="442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90"/>
      <c r="N103" s="28"/>
      <c r="O103" s="28"/>
      <c r="P103" s="28"/>
      <c r="Q103" s="28"/>
      <c r="R103" s="28"/>
      <c r="S103" s="28"/>
      <c r="T103" s="28"/>
      <c r="U103" s="28"/>
      <c r="V103" s="28"/>
      <c r="W103" s="28"/>
    </row>
    <row r="104" spans="1:23">
      <c r="A104" s="441"/>
      <c r="B104" s="85" t="s">
        <v>65</v>
      </c>
      <c r="C104" s="495">
        <v>1.0114925634221574</v>
      </c>
      <c r="D104" s="91"/>
      <c r="E104" s="92"/>
      <c r="F104" s="92"/>
      <c r="G104" s="92"/>
      <c r="H104" s="92"/>
      <c r="I104" s="92"/>
      <c r="J104" s="92"/>
      <c r="K104" s="92"/>
      <c r="M104" s="92"/>
      <c r="N104" s="28"/>
      <c r="O104" s="28"/>
      <c r="P104" s="28"/>
      <c r="Q104" s="28"/>
      <c r="R104" s="28"/>
      <c r="S104" s="28"/>
      <c r="T104" s="28"/>
      <c r="U104" s="28"/>
      <c r="V104" s="28"/>
      <c r="W104" s="28"/>
    </row>
    <row r="105" spans="1:23">
      <c r="A105" s="443"/>
      <c r="B105" s="15" t="str">
        <f>"PJM June 1, "&amp;(Inputs!D2-1)&amp;" (through May 31, "&amp;(Inputs!D2)&amp;") Forecast Pool Requirement"</f>
        <v>PJM June 1, 2025 (through May 31, 2026) Forecast Pool Requirement</v>
      </c>
      <c r="C105" s="93">
        <v>0.93799999999999994</v>
      </c>
      <c r="D105" s="91"/>
      <c r="I105" s="92"/>
      <c r="K105" s="5"/>
      <c r="M105" s="92"/>
      <c r="N105" s="28"/>
      <c r="O105" s="28"/>
      <c r="P105" s="28"/>
      <c r="Q105" s="28"/>
      <c r="R105" s="28"/>
      <c r="S105" s="28"/>
      <c r="T105" s="28"/>
      <c r="U105" s="28"/>
      <c r="V105" s="28"/>
      <c r="W105" s="28"/>
    </row>
    <row r="106" spans="1:23">
      <c r="A106" s="439"/>
      <c r="D106" s="94"/>
      <c r="E106" s="95"/>
      <c r="G106" s="94"/>
      <c r="H106" s="8"/>
      <c r="I106" s="92"/>
      <c r="M106" s="92"/>
      <c r="N106" s="28"/>
      <c r="O106" s="28"/>
      <c r="P106" s="28"/>
      <c r="Q106" s="28"/>
      <c r="R106" s="28"/>
      <c r="S106" s="28"/>
      <c r="T106" s="28"/>
      <c r="U106" s="28"/>
      <c r="V106" s="28"/>
      <c r="W106" s="28"/>
    </row>
    <row r="107" spans="1:23">
      <c r="A107" s="439"/>
      <c r="B107" s="8"/>
      <c r="D107" s="8"/>
      <c r="G107" s="94"/>
      <c r="H107" s="8"/>
      <c r="I107" s="92"/>
      <c r="M107" s="92"/>
      <c r="N107" s="28"/>
      <c r="O107" s="28"/>
      <c r="P107" s="28"/>
      <c r="Q107" s="28"/>
      <c r="R107" s="28"/>
      <c r="S107" s="28"/>
      <c r="T107" s="28"/>
      <c r="U107" s="28"/>
      <c r="V107" s="28"/>
      <c r="W107" s="28"/>
    </row>
    <row r="108" spans="1:23">
      <c r="A108" s="439"/>
      <c r="B108" s="96"/>
      <c r="C108" s="97"/>
      <c r="E108" s="98"/>
      <c r="F108" s="94"/>
      <c r="G108" s="94"/>
      <c r="H108" s="8"/>
      <c r="I108" s="92"/>
      <c r="K108" s="28"/>
      <c r="L108" s="28"/>
      <c r="M108" s="28"/>
      <c r="N108" s="28"/>
      <c r="O108" s="28"/>
      <c r="P108" s="28"/>
      <c r="Q108" s="28"/>
      <c r="R108" s="28"/>
      <c r="S108" s="28"/>
      <c r="T108" s="28"/>
    </row>
    <row r="109" spans="1:23">
      <c r="A109" s="439"/>
      <c r="B109" s="14"/>
      <c r="C109" s="8"/>
      <c r="D109" s="8"/>
      <c r="E109" s="99"/>
      <c r="F109" s="100"/>
      <c r="G109" s="100"/>
      <c r="H109" s="8"/>
      <c r="J109" s="98"/>
      <c r="K109" s="28"/>
      <c r="L109" s="28"/>
      <c r="M109" s="28"/>
      <c r="N109" s="28"/>
      <c r="O109" s="28"/>
      <c r="P109" s="28"/>
      <c r="Q109" s="28"/>
      <c r="R109" s="28"/>
      <c r="S109" s="28"/>
      <c r="T109" s="28"/>
    </row>
    <row r="110" spans="1:23">
      <c r="A110" s="439"/>
      <c r="B110" s="8"/>
      <c r="C110" s="8"/>
      <c r="D110" s="8"/>
      <c r="E110" s="99"/>
      <c r="F110" s="101"/>
      <c r="G110" s="101"/>
      <c r="H110" s="8"/>
      <c r="I110" s="92"/>
      <c r="K110" s="28"/>
      <c r="L110" s="28"/>
      <c r="M110" s="28"/>
      <c r="N110" s="28"/>
      <c r="O110" s="28"/>
      <c r="P110" s="28"/>
      <c r="Q110" s="28"/>
      <c r="R110" s="28"/>
      <c r="S110" s="28"/>
      <c r="T110" s="28"/>
    </row>
    <row r="111" spans="1:23">
      <c r="A111" s="439"/>
      <c r="B111" s="8"/>
      <c r="C111" s="8"/>
      <c r="D111" s="8"/>
      <c r="E111" s="99"/>
      <c r="F111" s="100"/>
      <c r="G111" s="100"/>
      <c r="H111" s="8"/>
      <c r="I111" s="92"/>
      <c r="J111" s="102"/>
      <c r="K111" s="28"/>
      <c r="L111" s="28"/>
      <c r="M111" s="28"/>
      <c r="N111" s="28"/>
      <c r="O111" s="28"/>
      <c r="P111" s="28"/>
      <c r="Q111" s="28"/>
      <c r="R111" s="28"/>
      <c r="S111" s="28"/>
      <c r="T111" s="28"/>
    </row>
    <row r="112" spans="1:23">
      <c r="A112" s="439"/>
      <c r="B112" s="8"/>
      <c r="C112" s="100"/>
      <c r="D112" s="8"/>
      <c r="E112" s="501" t="s">
        <v>66</v>
      </c>
      <c r="F112" s="501"/>
      <c r="G112" s="8"/>
      <c r="H112" s="8"/>
      <c r="I112" s="92"/>
      <c r="J112" s="102"/>
      <c r="K112" s="28"/>
      <c r="L112" s="28"/>
      <c r="M112" s="28"/>
      <c r="N112" s="28"/>
      <c r="O112" s="28"/>
      <c r="P112" s="28"/>
      <c r="Q112" s="28"/>
      <c r="R112" s="28"/>
      <c r="S112" s="28"/>
      <c r="T112" s="28"/>
    </row>
    <row r="113" spans="1:23">
      <c r="A113" s="441"/>
      <c r="B113" s="472" t="s">
        <v>67</v>
      </c>
      <c r="C113" s="502" t="s">
        <v>68</v>
      </c>
      <c r="D113" s="502"/>
      <c r="E113" s="471">
        <v>329.43</v>
      </c>
      <c r="F113" s="103" t="s">
        <v>69</v>
      </c>
      <c r="G113" s="8"/>
      <c r="H113" s="8"/>
      <c r="I113" s="92"/>
      <c r="J113" s="102"/>
      <c r="K113" s="28"/>
      <c r="L113" s="28"/>
      <c r="M113" s="28"/>
      <c r="N113" s="28"/>
      <c r="O113" s="28"/>
      <c r="P113" s="28"/>
      <c r="Q113" s="28"/>
      <c r="R113" s="28"/>
      <c r="S113" s="28"/>
      <c r="T113" s="28"/>
    </row>
    <row r="114" spans="1:23">
      <c r="A114" s="439"/>
      <c r="B114" s="8"/>
      <c r="C114" s="502" t="s">
        <v>70</v>
      </c>
      <c r="D114" s="502"/>
      <c r="E114" s="471">
        <v>329.43</v>
      </c>
      <c r="F114" s="103" t="s">
        <v>69</v>
      </c>
      <c r="G114" s="8"/>
      <c r="H114" s="8"/>
      <c r="N114" s="28"/>
      <c r="O114" s="28"/>
      <c r="P114" s="28"/>
      <c r="Q114" s="28"/>
      <c r="R114" s="28"/>
      <c r="S114" s="28"/>
      <c r="T114" s="28"/>
      <c r="U114" s="28"/>
      <c r="V114" s="28"/>
      <c r="W114" s="28"/>
    </row>
    <row r="115" spans="1:23" ht="18" customHeight="1">
      <c r="A115" s="439"/>
      <c r="B115" s="8"/>
      <c r="C115" s="8"/>
      <c r="D115" s="8"/>
      <c r="E115" s="104"/>
      <c r="F115" s="105"/>
      <c r="G115" s="8"/>
      <c r="H115" s="8"/>
      <c r="I115" s="8"/>
      <c r="N115" s="28"/>
      <c r="O115" s="28"/>
      <c r="P115" s="28"/>
      <c r="Q115" s="28"/>
      <c r="R115" s="28"/>
      <c r="S115" s="28"/>
      <c r="T115" s="28"/>
      <c r="U115" s="28"/>
      <c r="V115" s="28"/>
      <c r="W115" s="28"/>
    </row>
    <row r="116" spans="1:23">
      <c r="A116" s="439"/>
      <c r="B116" s="8"/>
      <c r="C116" s="8"/>
      <c r="D116" s="8"/>
      <c r="E116" s="8"/>
      <c r="F116" s="8"/>
      <c r="G116" s="8"/>
      <c r="H116" s="8"/>
      <c r="I116" s="8"/>
      <c r="J116" s="8"/>
      <c r="N116" s="28"/>
      <c r="O116" s="28"/>
      <c r="P116" s="28"/>
      <c r="Q116" s="28"/>
      <c r="R116" s="28"/>
      <c r="S116" s="28"/>
      <c r="T116" s="28"/>
      <c r="U116" s="28"/>
      <c r="V116" s="28"/>
      <c r="W116" s="28"/>
    </row>
    <row r="117" spans="1:23">
      <c r="A117" s="439"/>
      <c r="B117" s="8"/>
      <c r="C117" s="8"/>
      <c r="D117" s="8"/>
      <c r="E117" s="8"/>
      <c r="F117" s="8"/>
      <c r="G117" s="8"/>
      <c r="H117" s="8"/>
      <c r="I117" s="8"/>
      <c r="J117" s="8"/>
      <c r="N117" s="28"/>
      <c r="O117" s="28"/>
      <c r="P117" s="28"/>
      <c r="Q117" s="28"/>
      <c r="R117" s="28"/>
      <c r="S117" s="28"/>
      <c r="T117" s="28"/>
      <c r="U117" s="28"/>
      <c r="V117" s="28"/>
      <c r="W117" s="28"/>
    </row>
    <row r="118" spans="1:23">
      <c r="A118" s="441"/>
      <c r="B118" s="3"/>
      <c r="C118" s="22" t="s">
        <v>8</v>
      </c>
      <c r="D118" s="22" t="s">
        <v>9</v>
      </c>
      <c r="F118" s="8"/>
      <c r="G118" s="8"/>
      <c r="H118" s="8"/>
      <c r="I118" s="8"/>
      <c r="J118" s="100"/>
      <c r="N118" s="28"/>
      <c r="O118" s="28"/>
      <c r="P118" s="28"/>
      <c r="Q118" s="28"/>
      <c r="R118" s="28"/>
      <c r="S118" s="28"/>
      <c r="T118" s="28"/>
      <c r="U118" s="28"/>
      <c r="V118" s="28"/>
      <c r="W118" s="28"/>
    </row>
    <row r="119" spans="1:23">
      <c r="A119" s="436"/>
      <c r="B119" s="106" t="s">
        <v>71</v>
      </c>
      <c r="C119" s="68">
        <v>0.86519999999999975</v>
      </c>
      <c r="D119" s="68">
        <v>1.1569000000000003</v>
      </c>
      <c r="E119" s="8" t="s">
        <v>72</v>
      </c>
      <c r="F119" s="107" t="s">
        <v>73</v>
      </c>
      <c r="I119" s="8"/>
      <c r="J119" s="100"/>
      <c r="K119" s="69"/>
      <c r="N119" s="28"/>
      <c r="O119" s="28"/>
      <c r="P119" s="28"/>
      <c r="Q119" s="28"/>
      <c r="R119" s="28"/>
      <c r="S119" s="28"/>
      <c r="T119" s="28"/>
      <c r="U119" s="28"/>
      <c r="V119" s="28"/>
      <c r="W119" s="28"/>
    </row>
    <row r="120" spans="1:23">
      <c r="A120" s="436"/>
      <c r="F120" s="8"/>
      <c r="H120" s="8"/>
      <c r="I120" s="8"/>
      <c r="J120" s="100"/>
      <c r="K120" s="69"/>
      <c r="N120" s="28"/>
      <c r="O120" s="28"/>
      <c r="P120" s="28"/>
      <c r="Q120" s="28"/>
      <c r="R120" s="28"/>
      <c r="S120" s="28"/>
      <c r="T120" s="28"/>
      <c r="U120" s="28"/>
      <c r="V120" s="28"/>
      <c r="W120" s="28"/>
    </row>
    <row r="121" spans="1:23">
      <c r="A121" s="320"/>
      <c r="B121" s="8"/>
      <c r="C121" s="8"/>
      <c r="D121" s="8"/>
      <c r="E121" s="8"/>
      <c r="F121" s="8"/>
      <c r="G121" s="8"/>
      <c r="H121" s="8"/>
      <c r="I121" s="8"/>
      <c r="J121" s="8"/>
      <c r="N121" s="28"/>
      <c r="O121" s="28"/>
      <c r="P121" s="28"/>
      <c r="Q121" s="28"/>
      <c r="R121" s="28"/>
      <c r="S121" s="28"/>
      <c r="T121" s="28"/>
      <c r="U121" s="28"/>
      <c r="V121" s="28"/>
      <c r="W121" s="28"/>
    </row>
    <row r="122" spans="1:23">
      <c r="A122" s="468" t="s">
        <v>74</v>
      </c>
      <c r="B122" s="489" t="s">
        <v>75</v>
      </c>
      <c r="D122" s="8"/>
      <c r="I122" s="8"/>
      <c r="J122" s="8"/>
      <c r="N122" s="28"/>
      <c r="O122" s="28"/>
      <c r="P122" s="28"/>
      <c r="Q122" s="28"/>
      <c r="R122" s="28"/>
      <c r="S122" s="28"/>
      <c r="T122" s="28"/>
      <c r="U122" s="28"/>
      <c r="V122" s="28"/>
      <c r="W122" s="28"/>
    </row>
    <row r="123" spans="1:23">
      <c r="A123" s="439"/>
      <c r="B123" s="8" t="s">
        <v>76</v>
      </c>
      <c r="D123" s="108">
        <v>2</v>
      </c>
      <c r="E123" s="109" t="s">
        <v>77</v>
      </c>
      <c r="G123" s="65"/>
      <c r="I123" s="8"/>
      <c r="J123" s="104"/>
      <c r="N123" s="28"/>
      <c r="O123" s="28"/>
      <c r="P123" s="28"/>
      <c r="Q123" s="28"/>
      <c r="R123" s="28"/>
      <c r="S123" s="28"/>
      <c r="T123" s="28"/>
      <c r="U123" s="28"/>
      <c r="V123" s="28"/>
      <c r="W123" s="28"/>
    </row>
    <row r="124" spans="1:23">
      <c r="A124" s="439"/>
      <c r="B124" s="8" t="s">
        <v>78</v>
      </c>
      <c r="D124" s="473">
        <v>18.02</v>
      </c>
      <c r="E124" s="109" t="s">
        <v>77</v>
      </c>
      <c r="G124" s="65"/>
      <c r="I124" s="8"/>
      <c r="J124" s="8"/>
      <c r="N124" s="28"/>
      <c r="O124" s="28"/>
      <c r="P124" s="28"/>
      <c r="Q124" s="28"/>
      <c r="R124" s="28"/>
      <c r="S124" s="28"/>
      <c r="T124" s="28"/>
      <c r="U124" s="28"/>
      <c r="V124" s="28"/>
      <c r="W124" s="28"/>
    </row>
    <row r="125" spans="1:23">
      <c r="A125" s="439"/>
      <c r="B125" s="11"/>
      <c r="E125" s="109"/>
      <c r="N125" s="28"/>
      <c r="O125" s="28"/>
      <c r="P125" s="28"/>
      <c r="Q125" s="28"/>
      <c r="R125" s="28"/>
      <c r="S125" s="28"/>
      <c r="T125" s="28"/>
      <c r="U125" s="28"/>
      <c r="V125" s="28"/>
      <c r="W125" s="28"/>
    </row>
    <row r="126" spans="1:23">
      <c r="A126" s="439"/>
      <c r="B126" s="11"/>
      <c r="F126" s="109"/>
      <c r="N126" s="28"/>
      <c r="O126" s="28"/>
      <c r="P126" s="28"/>
      <c r="Q126" s="28"/>
      <c r="R126" s="28"/>
      <c r="S126" s="28"/>
      <c r="T126" s="28"/>
      <c r="U126" s="28"/>
      <c r="V126" s="28"/>
      <c r="W126" s="28"/>
    </row>
    <row r="127" spans="1:23">
      <c r="A127" s="439"/>
      <c r="B127" s="10"/>
      <c r="E127" s="110"/>
      <c r="F127" s="109"/>
      <c r="N127" s="28"/>
      <c r="O127" s="28"/>
      <c r="P127" s="28"/>
      <c r="Q127" s="28"/>
      <c r="R127" s="28"/>
      <c r="S127" s="28"/>
      <c r="T127" s="28"/>
      <c r="U127" s="28"/>
      <c r="V127" s="28"/>
      <c r="W127" s="28"/>
    </row>
    <row r="128" spans="1:23">
      <c r="A128" s="436"/>
      <c r="B128" s="10"/>
      <c r="N128" s="28"/>
      <c r="O128" s="28"/>
      <c r="P128" s="28"/>
      <c r="Q128" s="28"/>
      <c r="R128" s="28"/>
      <c r="S128" s="28"/>
      <c r="T128" s="28"/>
      <c r="U128" s="28"/>
      <c r="V128" s="28"/>
      <c r="W128" s="28"/>
    </row>
    <row r="129" spans="1:23">
      <c r="A129" s="436"/>
      <c r="B129" s="10" t="s">
        <v>79</v>
      </c>
      <c r="N129" s="28"/>
      <c r="O129" s="28"/>
      <c r="P129" s="28"/>
      <c r="Q129" s="28"/>
      <c r="R129" s="28"/>
      <c r="S129" s="28"/>
      <c r="T129" s="28"/>
      <c r="U129" s="28"/>
      <c r="V129" s="28"/>
      <c r="W129" s="28"/>
    </row>
    <row r="130" spans="1:23">
      <c r="A130" s="436"/>
      <c r="B130" s="10" t="s">
        <v>80</v>
      </c>
      <c r="C130" s="5"/>
      <c r="D130" s="450">
        <v>696.05</v>
      </c>
      <c r="E130" s="5" t="s">
        <v>81</v>
      </c>
      <c r="F130" s="5"/>
      <c r="G130" s="5"/>
      <c r="H130" s="5"/>
      <c r="I130" s="5"/>
      <c r="J130" s="5"/>
      <c r="N130" s="28"/>
      <c r="O130" s="28"/>
      <c r="P130" s="28"/>
      <c r="Q130" s="28"/>
      <c r="R130" s="28"/>
      <c r="S130" s="28"/>
      <c r="T130" s="28"/>
      <c r="U130" s="28"/>
      <c r="V130" s="28"/>
      <c r="W130" s="28"/>
    </row>
    <row r="131" spans="1:23">
      <c r="A131" s="436"/>
      <c r="B131" s="10"/>
      <c r="N131" s="28"/>
      <c r="O131" s="28"/>
      <c r="P131" s="28"/>
      <c r="Q131" s="28"/>
      <c r="R131" s="28"/>
      <c r="S131" s="28"/>
      <c r="T131" s="28"/>
      <c r="U131" s="28"/>
      <c r="V131" s="28"/>
      <c r="W131" s="28"/>
    </row>
    <row r="132" spans="1:23">
      <c r="A132" s="436" t="s">
        <v>82</v>
      </c>
      <c r="B132" s="94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28"/>
      <c r="O132" s="28"/>
      <c r="P132" s="28"/>
      <c r="Q132" s="28"/>
      <c r="R132" s="28"/>
      <c r="S132" s="28"/>
      <c r="T132" s="28"/>
      <c r="U132" s="28"/>
      <c r="V132" s="28"/>
      <c r="W132" s="28"/>
    </row>
    <row r="133" spans="1:23">
      <c r="A133" s="439"/>
      <c r="B133" s="94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28"/>
      <c r="O133" s="28"/>
      <c r="P133" s="28"/>
      <c r="Q133" s="28"/>
      <c r="R133" s="28"/>
      <c r="S133" s="28"/>
      <c r="T133" s="28"/>
      <c r="U133" s="28"/>
      <c r="V133" s="28"/>
      <c r="W133" s="28"/>
    </row>
    <row r="134" spans="1:23">
      <c r="A134" s="439"/>
      <c r="B134" s="94"/>
      <c r="G134" s="111"/>
      <c r="H134" s="111"/>
      <c r="I134" s="111"/>
      <c r="K134" s="111"/>
      <c r="L134" s="111"/>
      <c r="M134" s="111"/>
      <c r="N134" s="28"/>
      <c r="O134" s="28"/>
      <c r="P134" s="28"/>
      <c r="Q134" s="28"/>
      <c r="R134" s="28"/>
      <c r="S134" s="28"/>
      <c r="T134" s="28"/>
      <c r="U134" s="28"/>
      <c r="V134" s="28"/>
      <c r="W134" s="28"/>
    </row>
    <row r="135" spans="1:23" ht="52">
      <c r="A135" s="444" t="s">
        <v>83</v>
      </c>
      <c r="B135" s="15" t="s">
        <v>84</v>
      </c>
      <c r="C135" s="112" t="s">
        <v>85</v>
      </c>
      <c r="D135" s="112" t="s">
        <v>86</v>
      </c>
      <c r="E135" s="113" t="s">
        <v>87</v>
      </c>
      <c r="G135" s="111"/>
      <c r="H135" s="111"/>
      <c r="I135" s="111"/>
      <c r="J135" s="61"/>
      <c r="K135" s="112" t="s">
        <v>88</v>
      </c>
      <c r="L135" s="112" t="s">
        <v>89</v>
      </c>
      <c r="M135" s="112" t="s">
        <v>90</v>
      </c>
      <c r="N135" s="112" t="s">
        <v>91</v>
      </c>
      <c r="O135" s="112" t="s">
        <v>92</v>
      </c>
      <c r="P135" s="112" t="s">
        <v>93</v>
      </c>
      <c r="Q135" s="112" t="s">
        <v>94</v>
      </c>
      <c r="R135" s="112" t="s">
        <v>95</v>
      </c>
      <c r="S135" s="112" t="s">
        <v>85</v>
      </c>
      <c r="T135" s="112" t="s">
        <v>86</v>
      </c>
      <c r="U135" s="28"/>
      <c r="V135" s="28"/>
      <c r="W135" s="28"/>
    </row>
    <row r="136" spans="1:23">
      <c r="A136" s="439"/>
      <c r="B136" s="15" t="s">
        <v>96</v>
      </c>
      <c r="C136" s="114">
        <v>80.88</v>
      </c>
      <c r="D136" s="114">
        <v>107.36</v>
      </c>
      <c r="E136" s="115">
        <v>107.36</v>
      </c>
      <c r="F136" s="116"/>
      <c r="G136" s="111"/>
      <c r="H136" s="111"/>
      <c r="I136" s="111"/>
      <c r="J136" s="117"/>
      <c r="K136" s="118">
        <v>96.38</v>
      </c>
      <c r="L136" s="118">
        <v>90.78</v>
      </c>
      <c r="M136" s="118">
        <v>91.77</v>
      </c>
      <c r="N136" s="118">
        <v>98.04</v>
      </c>
      <c r="O136" s="118">
        <v>102.16</v>
      </c>
      <c r="P136" s="118">
        <v>64.8</v>
      </c>
      <c r="Q136" s="118">
        <v>76.3</v>
      </c>
      <c r="R136" s="118">
        <v>93.11</v>
      </c>
      <c r="S136" s="118">
        <v>80.88</v>
      </c>
      <c r="T136" s="118">
        <v>107.36</v>
      </c>
      <c r="U136" s="28"/>
      <c r="V136" s="28"/>
      <c r="W136" s="28"/>
    </row>
    <row r="137" spans="1:23">
      <c r="A137" s="439"/>
      <c r="B137" s="15" t="s">
        <v>97</v>
      </c>
      <c r="C137" s="119">
        <v>29</v>
      </c>
      <c r="D137" s="119">
        <v>28</v>
      </c>
      <c r="E137" s="119">
        <v>28</v>
      </c>
      <c r="F137" s="120"/>
      <c r="G137" s="111"/>
      <c r="H137" s="111"/>
      <c r="I137" s="111"/>
      <c r="K137" s="119">
        <v>28</v>
      </c>
      <c r="L137" s="119">
        <v>28</v>
      </c>
      <c r="M137" s="119">
        <v>29</v>
      </c>
      <c r="N137" s="119">
        <v>28</v>
      </c>
      <c r="O137" s="119">
        <v>28</v>
      </c>
      <c r="P137" s="119">
        <v>29</v>
      </c>
      <c r="Q137" s="119">
        <v>28</v>
      </c>
      <c r="R137" s="119">
        <v>28</v>
      </c>
      <c r="S137" s="119">
        <v>29</v>
      </c>
      <c r="T137" s="119">
        <v>29</v>
      </c>
      <c r="U137" s="28"/>
      <c r="V137" s="28"/>
      <c r="W137" s="28"/>
    </row>
    <row r="138" spans="1:23">
      <c r="A138" s="439"/>
      <c r="B138" s="15" t="s">
        <v>98</v>
      </c>
      <c r="C138" s="3"/>
      <c r="D138" s="3"/>
      <c r="E138" s="121" t="s">
        <v>99</v>
      </c>
      <c r="G138" s="111"/>
      <c r="H138" s="111"/>
      <c r="I138" s="111"/>
      <c r="K138" s="3"/>
      <c r="L138" s="3"/>
      <c r="M138" s="121"/>
      <c r="N138" s="121">
        <v>28.28</v>
      </c>
      <c r="O138" s="121">
        <v>37.770000000000003</v>
      </c>
      <c r="P138" s="121"/>
      <c r="Q138" s="121"/>
      <c r="R138" s="121"/>
      <c r="S138" s="121"/>
      <c r="T138" s="121"/>
      <c r="U138" s="28"/>
      <c r="V138" s="28"/>
      <c r="W138" s="28"/>
    </row>
    <row r="139" spans="1:23">
      <c r="A139" s="439"/>
      <c r="B139" s="10" t="s">
        <v>100</v>
      </c>
      <c r="F139" s="111"/>
      <c r="G139" s="111"/>
      <c r="H139" s="111"/>
      <c r="I139" s="111"/>
      <c r="N139" s="122">
        <f>N136-N138</f>
        <v>69.760000000000005</v>
      </c>
      <c r="O139" s="122">
        <f>O136-O138</f>
        <v>64.389999999999986</v>
      </c>
      <c r="U139" s="28"/>
      <c r="V139" s="28"/>
      <c r="W139" s="28"/>
    </row>
    <row r="140" spans="1:23">
      <c r="A140" s="436"/>
      <c r="B140" s="123" t="s">
        <v>101</v>
      </c>
      <c r="C140" s="124">
        <v>1</v>
      </c>
      <c r="D140" s="124">
        <v>1</v>
      </c>
      <c r="E140" s="124">
        <v>1</v>
      </c>
      <c r="F140" s="111"/>
      <c r="G140" s="111"/>
      <c r="H140" s="111"/>
      <c r="I140" s="111"/>
      <c r="K140" s="124">
        <v>1</v>
      </c>
      <c r="L140" s="124">
        <v>1</v>
      </c>
      <c r="M140" s="124">
        <v>1</v>
      </c>
      <c r="N140" s="124">
        <v>1</v>
      </c>
      <c r="O140" s="124">
        <v>1</v>
      </c>
      <c r="P140" s="124">
        <v>1</v>
      </c>
      <c r="Q140" s="124">
        <v>1</v>
      </c>
      <c r="R140" s="124">
        <v>1</v>
      </c>
      <c r="S140" s="124">
        <v>1</v>
      </c>
      <c r="T140" s="124">
        <v>1</v>
      </c>
      <c r="U140" s="28"/>
      <c r="V140" s="28"/>
      <c r="W140" s="28"/>
    </row>
    <row r="141" spans="1:23">
      <c r="A141" s="439"/>
      <c r="B141" s="123" t="s">
        <v>102</v>
      </c>
      <c r="C141" s="124">
        <v>1</v>
      </c>
      <c r="D141" s="124">
        <v>1</v>
      </c>
      <c r="E141" s="124">
        <v>1</v>
      </c>
      <c r="F141" s="111"/>
      <c r="G141" s="111"/>
      <c r="H141" s="111"/>
      <c r="I141" s="111"/>
      <c r="K141" s="124">
        <v>1</v>
      </c>
      <c r="L141" s="124">
        <v>1</v>
      </c>
      <c r="M141" s="124">
        <v>1</v>
      </c>
      <c r="N141" s="124">
        <v>1</v>
      </c>
      <c r="O141" s="124">
        <v>1</v>
      </c>
      <c r="P141" s="124">
        <v>1</v>
      </c>
      <c r="Q141" s="124">
        <v>1</v>
      </c>
      <c r="R141" s="124">
        <v>1</v>
      </c>
      <c r="S141" s="124">
        <v>1</v>
      </c>
      <c r="T141" s="124">
        <v>1</v>
      </c>
      <c r="U141" s="28"/>
      <c r="V141" s="28"/>
      <c r="W141" s="28"/>
    </row>
    <row r="142" spans="1:23">
      <c r="A142" s="439"/>
      <c r="B142" s="10"/>
    </row>
    <row r="143" spans="1:23">
      <c r="A143" s="439"/>
      <c r="B143" s="11"/>
      <c r="G143" s="111"/>
      <c r="O143" s="122"/>
    </row>
    <row r="144" spans="1:23">
      <c r="A144" s="439"/>
      <c r="B144" s="125"/>
      <c r="C144" s="126"/>
      <c r="D144" s="127"/>
      <c r="E144" s="128"/>
      <c r="F144" s="128"/>
      <c r="G144" s="129"/>
      <c r="H144" s="100"/>
    </row>
    <row r="145" spans="1:11">
      <c r="A145" s="439"/>
      <c r="B145" s="128"/>
      <c r="C145" s="130"/>
      <c r="D145" s="131"/>
      <c r="E145" s="132"/>
      <c r="F145" s="133"/>
      <c r="G145" s="129"/>
      <c r="H145" s="100"/>
      <c r="I145" s="5"/>
      <c r="J145" s="5"/>
    </row>
    <row r="146" spans="1:11">
      <c r="A146" s="439"/>
      <c r="B146" s="128"/>
      <c r="C146" s="134"/>
      <c r="D146" s="135"/>
      <c r="E146" s="136"/>
      <c r="F146" s="133"/>
      <c r="G146" s="129"/>
      <c r="H146" s="100"/>
    </row>
    <row r="147" spans="1:11">
      <c r="A147" s="439"/>
      <c r="B147" s="137"/>
      <c r="C147" s="134"/>
      <c r="D147" s="135"/>
      <c r="E147" s="138"/>
      <c r="F147" s="133"/>
      <c r="G147" s="126"/>
      <c r="H147" s="139"/>
      <c r="I147" s="61"/>
      <c r="J147" s="61"/>
      <c r="K147" s="61"/>
    </row>
    <row r="148" spans="1:11">
      <c r="A148" s="439"/>
      <c r="B148" s="140"/>
      <c r="C148" s="134"/>
      <c r="D148" s="135"/>
      <c r="E148" s="138"/>
      <c r="F148" s="133"/>
      <c r="G148" s="129"/>
      <c r="H148" s="139"/>
      <c r="I148" s="61"/>
      <c r="J148" s="61"/>
    </row>
    <row r="149" spans="1:11">
      <c r="A149" s="439"/>
      <c r="B149" s="140"/>
      <c r="C149" s="141"/>
      <c r="D149" s="135"/>
      <c r="E149" s="142"/>
      <c r="F149" s="143"/>
      <c r="G149" s="126"/>
      <c r="H149" s="139"/>
      <c r="I149" s="61"/>
      <c r="J149" s="61"/>
    </row>
    <row r="150" spans="1:11">
      <c r="A150" s="439"/>
      <c r="B150" s="129"/>
      <c r="C150" s="141"/>
      <c r="D150" s="135"/>
      <c r="E150" s="142"/>
      <c r="F150" s="143"/>
      <c r="G150" s="126"/>
      <c r="H150" s="139"/>
      <c r="I150" s="61"/>
      <c r="J150" s="61"/>
    </row>
    <row r="151" spans="1:11">
      <c r="A151" s="439"/>
      <c r="B151" s="129"/>
      <c r="C151" s="134"/>
      <c r="D151" s="135"/>
      <c r="E151" s="142"/>
      <c r="F151" s="143"/>
      <c r="G151" s="126"/>
      <c r="H151" s="139"/>
      <c r="I151" s="61"/>
      <c r="J151" s="61"/>
    </row>
    <row r="152" spans="1:11">
      <c r="A152" s="439"/>
      <c r="B152" s="129"/>
      <c r="C152" s="134"/>
      <c r="D152" s="144"/>
      <c r="E152" s="142"/>
      <c r="F152" s="143"/>
      <c r="G152" s="126"/>
      <c r="H152" s="139"/>
      <c r="I152" s="61"/>
      <c r="J152" s="61"/>
    </row>
    <row r="153" spans="1:11">
      <c r="A153" s="439"/>
      <c r="B153" s="129"/>
      <c r="C153" s="134"/>
      <c r="D153" s="144"/>
      <c r="E153" s="142"/>
      <c r="F153" s="143"/>
      <c r="G153" s="126"/>
      <c r="H153" s="139"/>
      <c r="I153" s="61"/>
      <c r="J153" s="61"/>
      <c r="K153" s="61"/>
    </row>
    <row r="154" spans="1:11">
      <c r="A154" s="439"/>
      <c r="B154" s="128"/>
      <c r="C154" s="134"/>
      <c r="D154" s="144"/>
      <c r="E154" s="142"/>
      <c r="F154" s="143"/>
      <c r="G154" s="126"/>
      <c r="H154" s="139"/>
      <c r="I154" s="61"/>
      <c r="J154" s="61"/>
    </row>
    <row r="155" spans="1:11">
      <c r="A155" s="439"/>
      <c r="B155" s="137"/>
      <c r="C155" s="134"/>
      <c r="D155" s="144"/>
      <c r="E155" s="142"/>
      <c r="F155" s="143"/>
      <c r="G155" s="126"/>
      <c r="H155" s="139"/>
      <c r="I155" s="61"/>
      <c r="J155" s="61"/>
    </row>
    <row r="156" spans="1:11">
      <c r="A156" s="439"/>
      <c r="B156" s="140"/>
      <c r="C156" s="134"/>
      <c r="D156" s="144"/>
      <c r="E156" s="142"/>
      <c r="F156" s="143"/>
      <c r="G156" s="126"/>
      <c r="H156" s="139"/>
      <c r="I156" s="61"/>
      <c r="J156" s="61"/>
    </row>
    <row r="157" spans="1:11">
      <c r="A157" s="439"/>
      <c r="B157" s="140"/>
      <c r="C157" s="134"/>
      <c r="D157" s="144"/>
      <c r="E157" s="142"/>
      <c r="F157" s="143"/>
      <c r="G157" s="126"/>
      <c r="H157" s="139"/>
      <c r="I157" s="61"/>
      <c r="J157" s="61"/>
      <c r="K157" s="61"/>
    </row>
    <row r="158" spans="1:11">
      <c r="A158" s="439"/>
      <c r="B158" s="128"/>
      <c r="C158" s="134"/>
      <c r="D158" s="144"/>
      <c r="E158" s="142"/>
      <c r="F158" s="143"/>
      <c r="G158" s="126"/>
      <c r="H158" s="139"/>
      <c r="I158" s="61"/>
      <c r="J158" s="61"/>
      <c r="K158" s="61"/>
    </row>
    <row r="159" spans="1:11">
      <c r="A159" s="439"/>
      <c r="B159" s="128"/>
      <c r="C159" s="134"/>
      <c r="D159" s="144"/>
      <c r="E159" s="142"/>
      <c r="F159" s="143"/>
      <c r="G159" s="126"/>
      <c r="H159" s="100"/>
      <c r="I159" s="61"/>
      <c r="J159" s="61"/>
      <c r="K159" s="61"/>
    </row>
    <row r="160" spans="1:11">
      <c r="A160" s="439"/>
      <c r="B160" s="128"/>
      <c r="C160" s="134"/>
      <c r="D160" s="144"/>
      <c r="E160" s="142"/>
      <c r="F160" s="143"/>
      <c r="G160" s="129"/>
      <c r="H160" s="100"/>
    </row>
    <row r="161" spans="1:15">
      <c r="A161" s="439"/>
      <c r="B161" s="128"/>
      <c r="C161" s="134"/>
      <c r="D161" s="144"/>
      <c r="E161" s="142"/>
      <c r="F161" s="143"/>
      <c r="G161" s="129"/>
    </row>
    <row r="162" spans="1:15" customFormat="1">
      <c r="A162" s="439"/>
      <c r="B162" s="145"/>
      <c r="C162" s="146"/>
      <c r="D162" s="147"/>
      <c r="E162" s="148"/>
      <c r="F162" s="149"/>
      <c r="G162" s="150"/>
    </row>
    <row r="163" spans="1:15" customFormat="1">
      <c r="A163" s="439"/>
      <c r="B163" s="151"/>
      <c r="C163" s="147"/>
      <c r="D163" s="152"/>
      <c r="E163" s="148"/>
      <c r="F163" s="149"/>
      <c r="H163" s="153"/>
      <c r="I163" s="154"/>
      <c r="J163" s="154"/>
    </row>
    <row r="164" spans="1:15" customFormat="1">
      <c r="A164" s="439"/>
      <c r="B164" s="155"/>
      <c r="C164" s="147"/>
      <c r="D164" s="152"/>
      <c r="E164" s="148"/>
      <c r="F164" s="149"/>
    </row>
    <row r="165" spans="1:15" customFormat="1">
      <c r="A165" s="439"/>
      <c r="C165" s="147"/>
      <c r="D165" s="152"/>
      <c r="E165" s="148"/>
      <c r="F165" s="149"/>
      <c r="H165" s="156"/>
    </row>
    <row r="166" spans="1:15" customFormat="1">
      <c r="A166" s="439"/>
      <c r="C166" s="157"/>
      <c r="D166" s="158"/>
      <c r="E166" s="148"/>
      <c r="F166" s="149"/>
      <c r="H166" s="159"/>
      <c r="I166" s="160"/>
      <c r="J166" s="160"/>
      <c r="K166" s="161"/>
      <c r="O166" s="162"/>
    </row>
    <row r="167" spans="1:15" customFormat="1">
      <c r="A167" s="439"/>
      <c r="B167" s="163"/>
      <c r="C167" s="164"/>
      <c r="D167" s="165"/>
      <c r="E167" s="166"/>
      <c r="F167" s="149"/>
      <c r="H167" s="159"/>
      <c r="I167" s="160"/>
      <c r="J167" s="160"/>
      <c r="K167" s="161"/>
    </row>
    <row r="168" spans="1:15" customFormat="1">
      <c r="A168" s="439"/>
      <c r="B168" s="167"/>
      <c r="C168" s="164"/>
      <c r="D168" s="165"/>
      <c r="E168" s="168"/>
      <c r="F168" s="149"/>
      <c r="H168" s="159"/>
      <c r="I168" s="160"/>
      <c r="J168" s="160"/>
      <c r="K168" s="161"/>
    </row>
    <row r="169" spans="1:15" customFormat="1">
      <c r="A169" s="439"/>
      <c r="B169" s="167"/>
      <c r="C169" s="164"/>
      <c r="D169" s="169"/>
      <c r="E169" s="170"/>
      <c r="F169" s="171"/>
    </row>
    <row r="170" spans="1:15" customFormat="1">
      <c r="A170" s="439"/>
      <c r="C170" s="164"/>
      <c r="D170" s="169"/>
      <c r="E170" s="168"/>
      <c r="F170" s="172"/>
      <c r="H170" s="156"/>
      <c r="I170" s="173"/>
      <c r="J170" s="173"/>
      <c r="K170" s="161"/>
    </row>
    <row r="171" spans="1:15" customFormat="1">
      <c r="A171" s="439"/>
      <c r="B171" s="163"/>
      <c r="C171" s="174"/>
      <c r="D171" s="150"/>
      <c r="E171" s="166"/>
      <c r="H171" s="159"/>
      <c r="I171" s="160"/>
      <c r="J171" s="160"/>
      <c r="K171" s="161"/>
    </row>
    <row r="172" spans="1:15" customFormat="1">
      <c r="A172" s="439"/>
      <c r="B172" s="167"/>
      <c r="C172" s="174"/>
      <c r="D172" s="150"/>
      <c r="E172" s="168"/>
    </row>
    <row r="173" spans="1:15" customFormat="1">
      <c r="A173" s="439"/>
      <c r="B173" s="167"/>
      <c r="C173" s="174"/>
      <c r="D173" s="150"/>
      <c r="E173" s="166"/>
    </row>
    <row r="174" spans="1:15" customFormat="1">
      <c r="A174" s="439"/>
      <c r="B174" s="167"/>
      <c r="C174" s="174"/>
      <c r="D174" s="150"/>
      <c r="E174" s="166"/>
    </row>
    <row r="175" spans="1:15" customFormat="1">
      <c r="A175" s="439"/>
      <c r="C175" s="174"/>
      <c r="D175" s="150"/>
      <c r="E175" s="166"/>
    </row>
    <row r="176" spans="1:15" customFormat="1">
      <c r="A176" s="439"/>
      <c r="C176" s="174"/>
      <c r="D176" s="150"/>
      <c r="E176" s="166"/>
    </row>
    <row r="177" spans="1:7" customFormat="1">
      <c r="A177" s="439"/>
      <c r="B177" s="175"/>
      <c r="C177" s="174"/>
      <c r="D177" s="150"/>
      <c r="E177" s="166"/>
    </row>
    <row r="178" spans="1:7" customFormat="1">
      <c r="A178" s="439"/>
      <c r="B178" s="163"/>
      <c r="C178" s="174"/>
      <c r="D178" s="150"/>
      <c r="E178" s="166"/>
    </row>
    <row r="179" spans="1:7" customFormat="1">
      <c r="A179" s="439"/>
      <c r="B179" s="167"/>
      <c r="C179" s="174"/>
      <c r="D179" s="150"/>
      <c r="E179" s="166"/>
    </row>
    <row r="180" spans="1:7" customFormat="1">
      <c r="A180" s="439"/>
      <c r="B180" s="167"/>
      <c r="C180" s="174"/>
      <c r="D180" s="150"/>
      <c r="E180" s="166"/>
    </row>
    <row r="181" spans="1:7" customFormat="1">
      <c r="A181" s="439"/>
      <c r="C181" s="174"/>
      <c r="D181" s="150"/>
      <c r="E181" s="166"/>
    </row>
    <row r="182" spans="1:7" customFormat="1">
      <c r="A182" s="439"/>
      <c r="B182" s="163"/>
      <c r="C182" s="150"/>
      <c r="D182" s="150"/>
    </row>
    <row r="183" spans="1:7" customFormat="1">
      <c r="A183" s="439"/>
      <c r="B183" s="167"/>
      <c r="C183" s="150"/>
      <c r="D183" s="150"/>
    </row>
    <row r="184" spans="1:7" customFormat="1">
      <c r="A184" s="439"/>
      <c r="B184" s="167"/>
      <c r="C184" s="150"/>
      <c r="D184" s="150"/>
    </row>
    <row r="185" spans="1:7" customFormat="1">
      <c r="A185" s="439"/>
      <c r="B185" s="167"/>
      <c r="C185" s="150"/>
      <c r="D185" s="150"/>
    </row>
    <row r="186" spans="1:7" customFormat="1">
      <c r="A186" s="439"/>
      <c r="C186" s="150"/>
      <c r="D186" s="150"/>
    </row>
    <row r="187" spans="1:7" customFormat="1">
      <c r="A187" s="439"/>
      <c r="C187" s="150"/>
      <c r="D187" s="150"/>
    </row>
    <row r="188" spans="1:7" customFormat="1">
      <c r="A188" s="439"/>
      <c r="B188" s="153"/>
      <c r="C188" s="150"/>
      <c r="D188" s="150"/>
    </row>
    <row r="189" spans="1:7" customFormat="1">
      <c r="A189" s="439"/>
      <c r="B189" s="159"/>
      <c r="C189" s="150"/>
      <c r="D189" s="150"/>
    </row>
    <row r="190" spans="1:7" customFormat="1">
      <c r="A190" s="439"/>
      <c r="C190" s="150"/>
      <c r="D190" s="150"/>
    </row>
    <row r="191" spans="1:7" customFormat="1">
      <c r="A191" s="439"/>
      <c r="C191" s="176"/>
      <c r="D191" s="176"/>
      <c r="G191" s="177"/>
    </row>
    <row r="192" spans="1:7" customFormat="1">
      <c r="A192" s="436"/>
      <c r="C192" s="150"/>
      <c r="D192" s="150"/>
    </row>
    <row r="193" spans="1:13" customFormat="1">
      <c r="A193" s="439"/>
      <c r="C193" s="178"/>
    </row>
    <row r="194" spans="1:13" customFormat="1">
      <c r="A194" s="439"/>
      <c r="B194" s="153"/>
      <c r="C194" s="159"/>
      <c r="D194" s="179"/>
    </row>
    <row r="195" spans="1:13" customFormat="1">
      <c r="A195" s="439"/>
      <c r="B195" s="153"/>
      <c r="C195" s="159"/>
      <c r="D195" s="179"/>
    </row>
    <row r="196" spans="1:13" customFormat="1">
      <c r="A196" s="439"/>
      <c r="B196" s="153"/>
    </row>
    <row r="197" spans="1:13" customFormat="1">
      <c r="A197" s="439"/>
      <c r="B197" s="155"/>
      <c r="E197" s="173"/>
      <c r="H197" s="154"/>
      <c r="I197" s="154"/>
      <c r="J197" s="154"/>
    </row>
    <row r="198" spans="1:13" customFormat="1">
      <c r="A198" s="439"/>
      <c r="B198" s="153"/>
    </row>
    <row r="199" spans="1:13" customFormat="1">
      <c r="A199" s="439"/>
      <c r="H199" s="180"/>
      <c r="I199" s="181"/>
      <c r="J199" s="181"/>
      <c r="K199" s="182"/>
      <c r="L199" s="182"/>
      <c r="M199" s="182"/>
    </row>
    <row r="200" spans="1:13" customFormat="1">
      <c r="A200" s="439"/>
      <c r="H200" s="181"/>
      <c r="I200" s="183"/>
      <c r="J200" s="184"/>
      <c r="K200" s="182"/>
      <c r="L200" s="182"/>
      <c r="M200" s="182"/>
    </row>
    <row r="201" spans="1:13" customFormat="1">
      <c r="A201" s="439"/>
      <c r="B201" s="163"/>
      <c r="G201" s="154"/>
      <c r="H201" s="185"/>
      <c r="I201" s="183"/>
      <c r="J201" s="184"/>
      <c r="K201" s="186"/>
      <c r="L201" s="182"/>
      <c r="M201" s="182"/>
    </row>
    <row r="202" spans="1:13" customFormat="1">
      <c r="A202" s="439"/>
      <c r="B202" s="167"/>
      <c r="G202" s="154"/>
      <c r="L202" s="182"/>
      <c r="M202" s="182"/>
    </row>
    <row r="203" spans="1:13" customFormat="1">
      <c r="A203" s="439"/>
      <c r="B203" s="167"/>
      <c r="C203" s="154"/>
      <c r="D203" s="154"/>
      <c r="E203" s="154"/>
      <c r="F203" s="154"/>
      <c r="G203" s="180"/>
      <c r="H203" s="182"/>
      <c r="I203" s="182"/>
      <c r="J203" s="182"/>
      <c r="K203" s="182"/>
      <c r="L203" s="182"/>
      <c r="M203" s="182"/>
    </row>
    <row r="204" spans="1:13" customFormat="1">
      <c r="A204" s="436"/>
      <c r="C204" s="154"/>
      <c r="D204" s="154"/>
      <c r="E204" s="154"/>
      <c r="F204" s="154"/>
      <c r="G204" s="181"/>
      <c r="H204" s="182"/>
      <c r="I204" s="182"/>
      <c r="J204" s="182"/>
      <c r="K204" s="182"/>
      <c r="L204" s="182"/>
      <c r="M204" s="182"/>
    </row>
    <row r="205" spans="1:13" customFormat="1">
      <c r="A205" s="436"/>
      <c r="B205" s="187"/>
      <c r="E205" s="181"/>
      <c r="F205" s="180"/>
      <c r="G205" s="181"/>
      <c r="H205" s="182"/>
      <c r="I205" s="182"/>
      <c r="J205" s="182"/>
      <c r="K205" s="182"/>
      <c r="L205" s="182"/>
      <c r="M205" s="182"/>
    </row>
    <row r="206" spans="1:13" customFormat="1">
      <c r="A206" s="439"/>
      <c r="B206" s="187"/>
      <c r="C206" s="188"/>
      <c r="D206" s="182"/>
      <c r="E206" s="180"/>
      <c r="F206" s="181"/>
      <c r="G206" s="182"/>
      <c r="H206" s="182"/>
      <c r="I206" s="182"/>
      <c r="J206" s="182"/>
      <c r="K206" s="182"/>
      <c r="L206" s="182"/>
      <c r="M206" s="182"/>
    </row>
    <row r="207" spans="1:13" customFormat="1">
      <c r="A207" s="439"/>
      <c r="B207" s="187"/>
      <c r="C207" s="188"/>
      <c r="D207" s="182"/>
      <c r="E207" s="180"/>
      <c r="F207" s="181"/>
      <c r="G207" s="182"/>
      <c r="H207" s="182"/>
      <c r="I207" s="182"/>
      <c r="J207" s="182"/>
      <c r="K207" s="182"/>
      <c r="L207" s="182"/>
      <c r="M207" s="182"/>
    </row>
    <row r="208" spans="1:13" customFormat="1">
      <c r="A208" s="439"/>
      <c r="E208" s="188"/>
      <c r="F208" s="182"/>
      <c r="G208" s="182"/>
      <c r="H208" s="182"/>
      <c r="I208" s="182"/>
      <c r="J208" s="182"/>
      <c r="K208" s="182"/>
      <c r="L208" s="182"/>
      <c r="M208" s="182"/>
    </row>
    <row r="209" spans="1:13" customFormat="1">
      <c r="A209" s="439"/>
      <c r="C209" s="180"/>
      <c r="D209" s="180"/>
      <c r="E209" s="188"/>
      <c r="F209" s="182"/>
      <c r="G209" s="182"/>
      <c r="H209" s="180"/>
      <c r="I209" s="181"/>
      <c r="J209" s="181"/>
      <c r="K209" s="182"/>
      <c r="L209" s="182"/>
      <c r="M209" s="182"/>
    </row>
    <row r="210" spans="1:13" customFormat="1">
      <c r="A210" s="439"/>
      <c r="C210" s="189"/>
      <c r="D210" s="189"/>
      <c r="E210" s="164"/>
      <c r="F210" s="182"/>
      <c r="G210" s="182"/>
      <c r="H210" s="182"/>
      <c r="J210" s="184"/>
      <c r="K210" s="182"/>
      <c r="L210" s="182"/>
      <c r="M210" s="182"/>
    </row>
    <row r="211" spans="1:13" customFormat="1">
      <c r="A211" s="439"/>
      <c r="B211" s="163"/>
      <c r="C211" s="189"/>
      <c r="D211" s="189"/>
      <c r="E211" s="164"/>
      <c r="F211" s="182"/>
      <c r="J211" s="184"/>
      <c r="K211" s="186"/>
      <c r="L211" s="182"/>
      <c r="M211" s="182"/>
    </row>
    <row r="212" spans="1:13" customFormat="1">
      <c r="A212" s="439"/>
      <c r="B212" s="167"/>
      <c r="G212" s="182"/>
      <c r="K212" s="182"/>
      <c r="L212" s="182"/>
      <c r="M212" s="182"/>
    </row>
    <row r="213" spans="1:13" customFormat="1">
      <c r="A213" s="439"/>
      <c r="B213" s="167"/>
      <c r="G213" s="180"/>
      <c r="H213" s="181"/>
      <c r="I213" s="181"/>
      <c r="J213" s="181"/>
      <c r="K213" s="182"/>
      <c r="L213" s="182"/>
      <c r="M213" s="182"/>
    </row>
    <row r="214" spans="1:13" customFormat="1">
      <c r="A214" s="439"/>
      <c r="C214" s="182"/>
      <c r="D214" s="182"/>
      <c r="E214" s="182"/>
      <c r="F214" s="182"/>
      <c r="G214" s="182"/>
    </row>
    <row r="215" spans="1:13" customFormat="1">
      <c r="A215" s="439"/>
      <c r="C215" s="180"/>
      <c r="D215" s="180"/>
      <c r="E215" s="181"/>
      <c r="F215" s="180"/>
      <c r="G215" s="182"/>
    </row>
    <row r="216" spans="1:13" customFormat="1">
      <c r="A216" s="439"/>
      <c r="C216" s="182"/>
      <c r="D216" s="182"/>
      <c r="E216" s="180"/>
      <c r="F216" s="182"/>
      <c r="G216" s="182"/>
    </row>
    <row r="217" spans="1:13" customFormat="1">
      <c r="A217" s="439"/>
      <c r="C217" s="182"/>
      <c r="D217" s="182"/>
      <c r="E217" s="180"/>
      <c r="F217" s="182"/>
      <c r="G217" s="181"/>
    </row>
    <row r="218" spans="1:13" customFormat="1">
      <c r="A218" s="439"/>
      <c r="B218" s="153"/>
      <c r="C218" s="182"/>
      <c r="D218" s="182"/>
      <c r="E218" s="182"/>
      <c r="F218" s="182"/>
    </row>
    <row r="219" spans="1:13" customFormat="1">
      <c r="A219" s="439"/>
      <c r="B219" s="155"/>
      <c r="C219" s="181"/>
      <c r="D219" s="181"/>
      <c r="E219" s="181"/>
      <c r="F219" s="181"/>
      <c r="H219" s="153"/>
    </row>
    <row r="220" spans="1:13" customFormat="1">
      <c r="A220" s="439"/>
      <c r="B220" s="183"/>
    </row>
    <row r="221" spans="1:13" customFormat="1">
      <c r="A221" s="439"/>
      <c r="H221" s="156"/>
    </row>
    <row r="222" spans="1:13" customFormat="1">
      <c r="A222" s="439"/>
      <c r="H222" s="159"/>
      <c r="I222" s="190"/>
      <c r="J222" s="190"/>
      <c r="K222" s="161"/>
    </row>
    <row r="223" spans="1:13" customFormat="1">
      <c r="A223" s="439"/>
      <c r="B223" s="163"/>
      <c r="H223" s="159"/>
      <c r="I223" s="190"/>
      <c r="J223" s="190"/>
      <c r="K223" s="161"/>
    </row>
    <row r="224" spans="1:13" customFormat="1">
      <c r="A224" s="439"/>
      <c r="B224" s="167"/>
      <c r="H224" s="159"/>
      <c r="I224" s="190"/>
      <c r="J224" s="190"/>
      <c r="K224" s="161"/>
    </row>
    <row r="225" spans="1:11" customFormat="1">
      <c r="A225" s="439"/>
      <c r="B225" s="167"/>
      <c r="C225" s="154"/>
      <c r="D225" s="154"/>
      <c r="E225" s="154"/>
      <c r="F225" s="154"/>
    </row>
    <row r="226" spans="1:11" customFormat="1">
      <c r="A226" s="439"/>
      <c r="C226" s="154"/>
      <c r="D226" s="191"/>
      <c r="E226" s="154"/>
      <c r="F226" s="191"/>
      <c r="H226" s="156"/>
      <c r="I226" s="173"/>
      <c r="J226" s="173"/>
    </row>
    <row r="227" spans="1:11" customFormat="1">
      <c r="A227" s="439"/>
      <c r="B227" s="163"/>
      <c r="C227" s="180"/>
      <c r="D227" s="186"/>
      <c r="E227" s="185"/>
      <c r="F227" s="185"/>
      <c r="H227" s="159"/>
      <c r="I227" s="190"/>
      <c r="J227" s="190"/>
      <c r="K227" s="161"/>
    </row>
    <row r="228" spans="1:11" customFormat="1">
      <c r="A228" s="439"/>
      <c r="B228" s="167"/>
      <c r="C228" s="181"/>
      <c r="D228" s="186"/>
      <c r="E228" s="180"/>
      <c r="F228" s="186"/>
    </row>
    <row r="229" spans="1:11" customFormat="1">
      <c r="A229" s="439"/>
      <c r="B229" s="167"/>
      <c r="C229" s="181"/>
      <c r="D229" s="186"/>
      <c r="E229" s="180"/>
      <c r="F229" s="186"/>
    </row>
    <row r="230" spans="1:11" customFormat="1">
      <c r="A230" s="439"/>
      <c r="C230" s="181"/>
      <c r="D230" s="186"/>
      <c r="E230" s="181"/>
      <c r="F230" s="186"/>
    </row>
    <row r="231" spans="1:11" customFormat="1">
      <c r="A231" s="439"/>
      <c r="C231" s="180"/>
      <c r="D231" s="186"/>
      <c r="E231" s="180"/>
      <c r="F231" s="186"/>
    </row>
    <row r="232" spans="1:11" customFormat="1">
      <c r="A232" s="437"/>
      <c r="C232" s="181"/>
      <c r="D232" s="185"/>
      <c r="E232" s="180"/>
      <c r="F232" s="186"/>
    </row>
    <row r="233" spans="1:11" customFormat="1">
      <c r="A233" s="445"/>
      <c r="C233" s="181"/>
      <c r="D233" s="185"/>
      <c r="E233" s="180"/>
      <c r="F233" s="186"/>
    </row>
    <row r="234" spans="1:11" customFormat="1">
      <c r="A234" s="439"/>
      <c r="C234" s="181"/>
      <c r="D234" s="185"/>
      <c r="E234" s="181"/>
      <c r="F234" s="185"/>
    </row>
    <row r="235" spans="1:11" customFormat="1">
      <c r="A235" s="439"/>
      <c r="C235" s="181"/>
      <c r="D235" s="185"/>
      <c r="E235" s="181"/>
      <c r="F235" s="185"/>
    </row>
    <row r="236" spans="1:11" customFormat="1">
      <c r="A236" s="439"/>
      <c r="B236" s="159"/>
      <c r="C236" s="182"/>
      <c r="E236" s="182"/>
    </row>
    <row r="237" spans="1:11" customFormat="1">
      <c r="A237" s="439"/>
      <c r="B237" s="159"/>
      <c r="C237" s="182"/>
      <c r="E237" s="182"/>
    </row>
    <row r="238" spans="1:11" customFormat="1">
      <c r="A238" s="439"/>
      <c r="B238" s="159"/>
    </row>
    <row r="239" spans="1:11" customFormat="1">
      <c r="A239" s="439"/>
      <c r="B239" s="159"/>
      <c r="E239" s="165"/>
    </row>
    <row r="240" spans="1:11" customFormat="1">
      <c r="A240" s="439"/>
      <c r="B240" s="159"/>
      <c r="C240" s="192"/>
      <c r="D240" s="161"/>
      <c r="E240" s="193"/>
    </row>
    <row r="241" spans="1:13" customFormat="1">
      <c r="A241" s="439"/>
      <c r="B241" s="159"/>
      <c r="C241" s="192"/>
      <c r="D241" s="161"/>
      <c r="E241" s="193"/>
    </row>
    <row r="242" spans="1:13" customFormat="1">
      <c r="A242" s="439"/>
      <c r="B242" s="159"/>
    </row>
    <row r="243" spans="1:13" customFormat="1">
      <c r="A243" s="439"/>
      <c r="B243" s="159"/>
      <c r="C243" s="192"/>
      <c r="D243" s="161"/>
      <c r="E243" s="194"/>
    </row>
    <row r="244" spans="1:13" customFormat="1">
      <c r="A244" s="439"/>
      <c r="B244" s="159"/>
      <c r="C244" s="166"/>
      <c r="E244" s="194"/>
    </row>
    <row r="245" spans="1:13" customFormat="1">
      <c r="A245" s="439"/>
      <c r="B245" s="159"/>
      <c r="C245" s="166"/>
      <c r="E245" s="194"/>
    </row>
    <row r="246" spans="1:13" customFormat="1">
      <c r="A246" s="439"/>
      <c r="B246" s="159"/>
      <c r="C246" s="195"/>
    </row>
    <row r="247" spans="1:13" customFormat="1">
      <c r="A247" s="437"/>
      <c r="B247" s="159"/>
      <c r="C247" s="183"/>
    </row>
    <row r="248" spans="1:13" customFormat="1">
      <c r="A248" s="437"/>
      <c r="B248" s="159"/>
      <c r="C248" s="164"/>
    </row>
    <row r="249" spans="1:13" customFormat="1">
      <c r="A249" s="439"/>
      <c r="C249" s="193"/>
    </row>
    <row r="250" spans="1:13" customFormat="1">
      <c r="A250" s="439"/>
      <c r="B250" s="159"/>
    </row>
    <row r="251" spans="1:13" customFormat="1">
      <c r="A251" s="439"/>
    </row>
    <row r="252" spans="1:13" customFormat="1">
      <c r="A252" s="436"/>
    </row>
    <row r="253" spans="1:13" customFormat="1">
      <c r="A253" s="439"/>
    </row>
    <row r="254" spans="1:13" customFormat="1">
      <c r="A254" s="439"/>
      <c r="B254" s="153"/>
      <c r="H254" s="154"/>
      <c r="I254" s="154"/>
      <c r="J254" s="154"/>
      <c r="K254" s="154"/>
      <c r="L254" s="154"/>
      <c r="M254" s="154"/>
    </row>
    <row r="255" spans="1:13" customFormat="1">
      <c r="A255" s="439"/>
      <c r="B255" s="153"/>
      <c r="C255" s="182"/>
      <c r="E255" s="182"/>
    </row>
    <row r="256" spans="1:13" customFormat="1">
      <c r="A256" s="439"/>
      <c r="C256" s="182"/>
      <c r="E256" s="182"/>
      <c r="H256" s="178"/>
      <c r="I256" s="178"/>
      <c r="J256" s="178"/>
      <c r="K256" s="178"/>
      <c r="L256" s="178"/>
      <c r="M256" s="178"/>
    </row>
    <row r="257" spans="1:13" customFormat="1">
      <c r="A257" s="439"/>
      <c r="C257" s="182"/>
      <c r="E257" s="182"/>
      <c r="H257" s="178"/>
      <c r="I257" s="178"/>
      <c r="J257" s="178"/>
      <c r="K257" s="178"/>
      <c r="L257" s="178"/>
      <c r="M257" s="178"/>
    </row>
    <row r="258" spans="1:13" customFormat="1">
      <c r="A258" s="439"/>
      <c r="B258" s="196"/>
      <c r="G258" s="154"/>
      <c r="H258" s="177"/>
      <c r="I258" s="177"/>
      <c r="J258" s="178"/>
      <c r="K258" s="178"/>
      <c r="L258" s="178"/>
      <c r="M258" s="178"/>
    </row>
    <row r="259" spans="1:13" customFormat="1">
      <c r="A259" s="439"/>
      <c r="B259" s="196"/>
    </row>
    <row r="260" spans="1:13" customFormat="1">
      <c r="A260" s="439"/>
      <c r="B260" s="196"/>
      <c r="C260" s="154"/>
      <c r="D260" s="154"/>
      <c r="E260" s="154"/>
      <c r="F260" s="154"/>
      <c r="G260" s="178"/>
    </row>
    <row r="261" spans="1:13" customFormat="1">
      <c r="A261" s="439"/>
      <c r="B261" s="196"/>
      <c r="G261" s="178"/>
      <c r="H261" s="197"/>
      <c r="I261" s="197"/>
      <c r="J261" s="197"/>
      <c r="K261" s="197"/>
      <c r="L261" s="197"/>
      <c r="M261" s="197"/>
    </row>
    <row r="262" spans="1:13" customFormat="1">
      <c r="A262" s="439"/>
      <c r="C262" s="198"/>
      <c r="D262" s="198"/>
      <c r="E262" s="178"/>
      <c r="F262" s="178"/>
      <c r="G262" s="177"/>
      <c r="H262" s="197"/>
      <c r="I262" s="197"/>
      <c r="J262" s="197"/>
      <c r="K262" s="197"/>
      <c r="L262" s="197"/>
      <c r="M262" s="197"/>
    </row>
    <row r="263" spans="1:13" customFormat="1">
      <c r="A263" s="439"/>
      <c r="B263" s="196"/>
      <c r="C263" s="178"/>
      <c r="D263" s="178"/>
      <c r="E263" s="178"/>
      <c r="F263" s="178"/>
    </row>
    <row r="264" spans="1:13" customFormat="1">
      <c r="A264" s="439"/>
      <c r="B264" s="196"/>
      <c r="C264" s="177"/>
      <c r="D264" s="177"/>
      <c r="E264" s="177"/>
      <c r="F264" s="177"/>
    </row>
    <row r="265" spans="1:13" customFormat="1">
      <c r="A265" s="439"/>
      <c r="G265" s="197"/>
    </row>
    <row r="266" spans="1:13" customFormat="1">
      <c r="A266" s="439"/>
      <c r="G266" s="197"/>
    </row>
    <row r="267" spans="1:13" customFormat="1">
      <c r="A267" s="439"/>
      <c r="B267" s="196"/>
      <c r="C267" s="197"/>
      <c r="D267" s="197"/>
      <c r="E267" s="197"/>
      <c r="F267" s="197"/>
    </row>
    <row r="268" spans="1:13" customFormat="1">
      <c r="A268" s="439"/>
      <c r="B268" s="196"/>
      <c r="C268" s="197"/>
      <c r="D268" s="197"/>
      <c r="E268" s="197"/>
      <c r="F268" s="197"/>
      <c r="L268" s="199"/>
    </row>
    <row r="269" spans="1:13" customFormat="1">
      <c r="A269" s="439"/>
      <c r="B269" s="196"/>
      <c r="K269" s="196"/>
    </row>
    <row r="270" spans="1:13" customFormat="1">
      <c r="A270" s="439"/>
      <c r="K270" s="196"/>
      <c r="L270" s="200"/>
      <c r="M270" s="201"/>
    </row>
    <row r="271" spans="1:13" customFormat="1">
      <c r="A271" s="439"/>
      <c r="C271" s="202"/>
      <c r="K271" s="196"/>
      <c r="L271" s="200"/>
      <c r="M271" s="201"/>
    </row>
    <row r="272" spans="1:13" customFormat="1">
      <c r="A272" s="439"/>
      <c r="B272" s="196"/>
      <c r="C272" s="202"/>
    </row>
    <row r="273" spans="1:12" customFormat="1">
      <c r="A273" s="439"/>
      <c r="B273" s="196"/>
      <c r="C273" s="177"/>
      <c r="D273" s="162"/>
    </row>
    <row r="274" spans="1:12" customFormat="1">
      <c r="A274" s="436"/>
    </row>
    <row r="275" spans="1:12" customFormat="1">
      <c r="A275" s="439"/>
    </row>
    <row r="276" spans="1:12" customFormat="1">
      <c r="A276" s="439"/>
      <c r="B276" s="153"/>
      <c r="C276" s="197"/>
      <c r="E276" s="165"/>
    </row>
    <row r="277" spans="1:12" customFormat="1">
      <c r="A277" s="439"/>
      <c r="C277" s="197"/>
      <c r="E277" s="165"/>
    </row>
    <row r="278" spans="1:12" customFormat="1">
      <c r="A278" s="439"/>
      <c r="B278" s="159"/>
    </row>
    <row r="279" spans="1:12" customFormat="1">
      <c r="A279" s="439"/>
      <c r="B279" s="159"/>
      <c r="C279" s="182"/>
      <c r="E279" s="182"/>
    </row>
    <row r="280" spans="1:12" customFormat="1">
      <c r="A280" s="439"/>
      <c r="B280" s="159"/>
      <c r="C280" s="182"/>
      <c r="E280" s="182"/>
      <c r="H280" s="154"/>
      <c r="I280" s="154"/>
      <c r="J280" s="154"/>
      <c r="K280" s="154"/>
      <c r="L280" s="154"/>
    </row>
    <row r="281" spans="1:12" customFormat="1">
      <c r="A281" s="439"/>
      <c r="C281" s="182"/>
      <c r="E281" s="182"/>
    </row>
    <row r="282" spans="1:12" customFormat="1">
      <c r="A282" s="439"/>
      <c r="C282" s="150"/>
      <c r="E282" s="203"/>
      <c r="H282" s="178"/>
      <c r="I282" s="178"/>
      <c r="J282" s="178"/>
      <c r="K282" s="204"/>
      <c r="L282" s="204"/>
    </row>
    <row r="283" spans="1:12" customFormat="1">
      <c r="A283" s="439"/>
      <c r="C283" s="205"/>
      <c r="E283" s="182"/>
      <c r="H283" s="178"/>
      <c r="I283" s="178"/>
      <c r="J283" s="178"/>
      <c r="K283" s="204"/>
      <c r="L283" s="204"/>
    </row>
    <row r="284" spans="1:12" customFormat="1">
      <c r="A284" s="439"/>
      <c r="B284" s="196"/>
      <c r="C284" s="205"/>
      <c r="E284" s="182"/>
      <c r="G284" s="154"/>
      <c r="H284" s="177"/>
      <c r="I284" s="177"/>
      <c r="J284" s="177"/>
      <c r="K284" s="177"/>
      <c r="L284" s="177"/>
    </row>
    <row r="285" spans="1:12" customFormat="1">
      <c r="A285" s="439"/>
      <c r="B285" s="196"/>
      <c r="C285" s="182"/>
      <c r="E285" s="182"/>
      <c r="H285" s="177"/>
      <c r="I285" s="177"/>
      <c r="J285" s="177"/>
      <c r="K285" s="177"/>
      <c r="L285" s="177"/>
    </row>
    <row r="286" spans="1:12" customFormat="1">
      <c r="A286" s="439"/>
      <c r="B286" s="196"/>
      <c r="C286" s="154"/>
      <c r="D286" s="154"/>
      <c r="E286" s="154"/>
      <c r="F286" s="154"/>
      <c r="G286" s="178"/>
      <c r="H286" s="177"/>
      <c r="I286" s="177"/>
      <c r="J286" s="177"/>
      <c r="K286" s="177"/>
      <c r="L286" s="177"/>
    </row>
    <row r="287" spans="1:12" customFormat="1">
      <c r="A287" s="439"/>
      <c r="B287" s="196"/>
      <c r="G287" s="178"/>
    </row>
    <row r="288" spans="1:12" customFormat="1">
      <c r="A288" s="439"/>
      <c r="B288" s="196"/>
      <c r="C288" s="178"/>
      <c r="D288" s="178"/>
      <c r="E288" s="204"/>
      <c r="F288" s="178"/>
      <c r="G288" s="177"/>
    </row>
    <row r="289" spans="1:12" customFormat="1">
      <c r="A289" s="439"/>
      <c r="B289" s="196"/>
      <c r="C289" s="178"/>
      <c r="D289" s="178"/>
      <c r="E289" s="204"/>
      <c r="F289" s="178"/>
      <c r="G289" s="177"/>
    </row>
    <row r="290" spans="1:12" customFormat="1">
      <c r="A290" s="439"/>
      <c r="B290" s="196"/>
      <c r="C290" s="177"/>
      <c r="D290" s="177"/>
      <c r="E290" s="177"/>
      <c r="F290" s="177"/>
      <c r="G290" s="177"/>
      <c r="H290" s="154"/>
      <c r="I290" s="154"/>
      <c r="J290" s="154"/>
      <c r="K290" s="154"/>
      <c r="L290" s="154"/>
    </row>
    <row r="291" spans="1:12" customFormat="1">
      <c r="A291" s="439"/>
      <c r="B291" s="196"/>
      <c r="C291" s="177"/>
      <c r="D291" s="177"/>
      <c r="E291" s="177"/>
      <c r="F291" s="177"/>
    </row>
    <row r="292" spans="1:12" customFormat="1">
      <c r="A292" s="439"/>
      <c r="C292" s="177"/>
      <c r="D292" s="177"/>
      <c r="E292" s="177"/>
      <c r="F292" s="177"/>
      <c r="H292" s="178"/>
      <c r="I292" s="178"/>
      <c r="J292" s="178"/>
      <c r="K292" s="178"/>
      <c r="L292" s="178"/>
    </row>
    <row r="293" spans="1:12" customFormat="1">
      <c r="A293" s="439"/>
      <c r="C293" s="177"/>
      <c r="E293" s="182"/>
      <c r="H293" s="178"/>
      <c r="I293" s="178"/>
      <c r="J293" s="178"/>
      <c r="K293" s="178"/>
      <c r="L293" s="178"/>
    </row>
    <row r="294" spans="1:12" customFormat="1">
      <c r="A294" s="439"/>
      <c r="B294" s="196"/>
      <c r="C294" s="177"/>
      <c r="E294" s="182"/>
      <c r="G294" s="154"/>
      <c r="H294" s="177"/>
      <c r="I294" s="177"/>
      <c r="J294" s="178"/>
      <c r="K294" s="178"/>
      <c r="L294" s="178"/>
    </row>
    <row r="295" spans="1:12" customFormat="1">
      <c r="A295" s="439"/>
      <c r="B295" s="196"/>
      <c r="C295" s="182"/>
      <c r="E295" s="182"/>
      <c r="H295" s="182"/>
      <c r="I295" s="182"/>
      <c r="J295" s="182"/>
      <c r="K295" s="182"/>
      <c r="L295" s="182"/>
    </row>
    <row r="296" spans="1:12" customFormat="1">
      <c r="A296" s="439"/>
      <c r="B296" s="196"/>
      <c r="C296" s="154"/>
      <c r="D296" s="154"/>
      <c r="E296" s="154"/>
      <c r="F296" s="154"/>
      <c r="G296" s="178"/>
    </row>
    <row r="297" spans="1:12" customFormat="1">
      <c r="A297" s="439"/>
      <c r="G297" s="178"/>
    </row>
    <row r="298" spans="1:12" customFormat="1">
      <c r="A298" s="439"/>
      <c r="B298" s="196"/>
      <c r="C298" s="178"/>
      <c r="D298" s="178"/>
      <c r="E298" s="178"/>
      <c r="F298" s="178"/>
      <c r="G298" s="177"/>
    </row>
    <row r="299" spans="1:12" customFormat="1">
      <c r="A299" s="439"/>
      <c r="B299" s="196"/>
      <c r="C299" s="178"/>
      <c r="D299" s="178"/>
      <c r="E299" s="178"/>
      <c r="F299" s="178"/>
      <c r="G299" s="182"/>
    </row>
    <row r="300" spans="1:12" customFormat="1">
      <c r="A300" s="437"/>
      <c r="B300" s="196"/>
      <c r="C300" s="177"/>
      <c r="D300" s="177"/>
      <c r="E300" s="177"/>
      <c r="F300" s="177"/>
    </row>
    <row r="301" spans="1:12" customFormat="1">
      <c r="A301" s="437"/>
      <c r="C301" s="182"/>
      <c r="D301" s="182"/>
      <c r="E301" s="182"/>
      <c r="F301" s="182"/>
    </row>
    <row r="302" spans="1:12">
      <c r="B302" s="94"/>
      <c r="C302" s="206"/>
    </row>
    <row r="303" spans="1:12">
      <c r="C303" s="206"/>
    </row>
    <row r="304" spans="1:12">
      <c r="A304" s="436"/>
      <c r="C304" s="206"/>
    </row>
    <row r="305" spans="1:10">
      <c r="C305" s="207"/>
      <c r="E305" s="207"/>
    </row>
    <row r="306" spans="1:10">
      <c r="B306" s="10"/>
      <c r="C306" s="206"/>
    </row>
    <row r="307" spans="1:10">
      <c r="B307" s="11"/>
    </row>
    <row r="308" spans="1:10">
      <c r="B308" s="40"/>
    </row>
    <row r="309" spans="1:10">
      <c r="B309" s="40"/>
    </row>
    <row r="310" spans="1:10" hidden="1" outlineLevel="1">
      <c r="A310" s="446"/>
      <c r="B310" s="40"/>
      <c r="C310" s="107"/>
    </row>
    <row r="311" spans="1:10" hidden="1" outlineLevel="1">
      <c r="A311" s="436"/>
    </row>
    <row r="312" spans="1:10" hidden="1" outlineLevel="1">
      <c r="C312" s="41"/>
    </row>
    <row r="313" spans="1:10" hidden="1" outlineLevel="1">
      <c r="A313" s="320"/>
      <c r="B313" s="10"/>
      <c r="C313" s="209"/>
    </row>
    <row r="314" spans="1:10" hidden="1" outlineLevel="1">
      <c r="A314" s="320"/>
      <c r="C314" s="41"/>
    </row>
    <row r="315" spans="1:10" hidden="1" outlineLevel="1">
      <c r="A315" s="320"/>
    </row>
    <row r="316" spans="1:10" hidden="1" outlineLevel="1">
      <c r="A316" s="320"/>
    </row>
    <row r="317" spans="1:10" hidden="1" outlineLevel="1">
      <c r="A317" s="320"/>
    </row>
    <row r="318" spans="1:10" hidden="1" outlineLevel="1">
      <c r="A318" s="320"/>
    </row>
    <row r="319" spans="1:10" hidden="1" outlineLevel="1">
      <c r="A319" s="320"/>
      <c r="C319" s="210"/>
      <c r="D319" s="210"/>
      <c r="E319" s="210"/>
      <c r="G319" s="122"/>
      <c r="H319" s="5"/>
      <c r="I319" s="5"/>
      <c r="J319" s="5"/>
    </row>
    <row r="320" spans="1:10" hidden="1" outlineLevel="1">
      <c r="A320" s="320"/>
      <c r="C320" s="211"/>
      <c r="D320" s="211"/>
      <c r="E320" s="211"/>
      <c r="H320" s="212"/>
      <c r="I320" s="212"/>
      <c r="J320" s="212"/>
    </row>
    <row r="321" spans="1:10" hidden="1" outlineLevel="1">
      <c r="A321" s="320"/>
      <c r="C321" s="122"/>
      <c r="D321" s="122"/>
      <c r="E321" s="122"/>
      <c r="F321" s="122"/>
      <c r="H321" s="41"/>
      <c r="I321" s="41"/>
      <c r="J321" s="41"/>
    </row>
    <row r="322" spans="1:10" hidden="1" outlineLevel="1">
      <c r="A322" s="320"/>
    </row>
    <row r="323" spans="1:10" hidden="1" outlineLevel="1">
      <c r="A323" s="320"/>
      <c r="C323" s="122"/>
      <c r="D323" s="122"/>
      <c r="E323" s="122"/>
      <c r="F323" s="122"/>
      <c r="G323" s="5"/>
    </row>
    <row r="324" spans="1:10" hidden="1" outlineLevel="1">
      <c r="A324" s="320"/>
      <c r="G324" s="212"/>
    </row>
    <row r="325" spans="1:10" hidden="1" outlineLevel="1">
      <c r="A325" s="320"/>
      <c r="C325" s="5"/>
      <c r="D325" s="5"/>
      <c r="E325" s="5"/>
      <c r="F325" s="5"/>
      <c r="G325" s="41"/>
    </row>
    <row r="326" spans="1:10" hidden="1" outlineLevel="1">
      <c r="A326" s="320"/>
      <c r="C326" s="212"/>
      <c r="D326" s="212"/>
      <c r="E326" s="212"/>
      <c r="F326" s="212"/>
    </row>
    <row r="327" spans="1:10" hidden="1" outlineLevel="1">
      <c r="A327" s="320"/>
      <c r="C327" s="41"/>
      <c r="D327" s="41"/>
      <c r="E327" s="41"/>
      <c r="F327" s="41"/>
    </row>
    <row r="328" spans="1:10" hidden="1" outlineLevel="1">
      <c r="A328" s="320"/>
    </row>
    <row r="329" spans="1:10" hidden="1" outlineLevel="1"/>
    <row r="330" spans="1:10" hidden="1" outlineLevel="1"/>
    <row r="331" spans="1:10" hidden="1" outlineLevel="1">
      <c r="C331" s="5"/>
      <c r="D331" s="5"/>
    </row>
    <row r="332" spans="1:10" hidden="1" outlineLevel="1">
      <c r="C332" s="122"/>
      <c r="D332" s="122"/>
    </row>
    <row r="333" spans="1:10" hidden="1" outlineLevel="1">
      <c r="C333" s="213"/>
      <c r="D333" s="213"/>
    </row>
    <row r="334" spans="1:10" hidden="1" outlineLevel="1">
      <c r="C334" s="122"/>
      <c r="D334" s="122"/>
    </row>
    <row r="335" spans="1:10" hidden="1" outlineLevel="1">
      <c r="A335" s="436"/>
      <c r="C335" s="122"/>
      <c r="D335" s="122"/>
    </row>
    <row r="336" spans="1:10" hidden="1" outlineLevel="1">
      <c r="C336" s="213"/>
      <c r="D336" s="213"/>
    </row>
    <row r="337" spans="1:12" hidden="1" outlineLevel="1">
      <c r="B337" s="10"/>
      <c r="H337" s="5"/>
      <c r="I337" s="5"/>
      <c r="J337" s="5"/>
      <c r="K337" s="5"/>
      <c r="L337" s="5"/>
    </row>
    <row r="338" spans="1:12" hidden="1" outlineLevel="1">
      <c r="C338" s="213"/>
      <c r="D338" s="213"/>
      <c r="H338" s="5"/>
      <c r="I338" s="5"/>
      <c r="J338" s="5"/>
      <c r="K338" s="5"/>
      <c r="L338" s="5"/>
    </row>
    <row r="339" spans="1:12" hidden="1" outlineLevel="1"/>
    <row r="340" spans="1:12" hidden="1" outlineLevel="1">
      <c r="C340" s="213"/>
      <c r="H340" s="122"/>
      <c r="I340" s="122"/>
      <c r="J340" s="122"/>
    </row>
    <row r="341" spans="1:12" hidden="1" outlineLevel="1">
      <c r="B341" s="40"/>
      <c r="G341" s="5"/>
    </row>
    <row r="342" spans="1:12" hidden="1" outlineLevel="1">
      <c r="A342" s="320"/>
      <c r="B342" s="40"/>
      <c r="G342" s="5"/>
    </row>
    <row r="343" spans="1:12" hidden="1" outlineLevel="1">
      <c r="A343" s="320"/>
      <c r="B343" s="40"/>
      <c r="C343" s="5"/>
      <c r="D343" s="5"/>
      <c r="E343" s="5"/>
      <c r="F343" s="5"/>
    </row>
    <row r="344" spans="1:12" hidden="1" outlineLevel="1">
      <c r="A344" s="320"/>
      <c r="B344" s="40"/>
      <c r="C344" s="5"/>
      <c r="D344" s="5"/>
      <c r="E344" s="5"/>
      <c r="F344" s="5"/>
      <c r="G344" s="122"/>
    </row>
    <row r="345" spans="1:12" hidden="1" outlineLevel="1">
      <c r="A345" s="320"/>
      <c r="B345" s="40"/>
    </row>
    <row r="346" spans="1:12" hidden="1" outlineLevel="1">
      <c r="A346" s="320"/>
      <c r="B346" s="40"/>
      <c r="C346" s="122"/>
      <c r="D346" s="122"/>
      <c r="E346" s="122"/>
      <c r="F346" s="122"/>
    </row>
    <row r="347" spans="1:12" hidden="1" outlineLevel="1">
      <c r="A347" s="320"/>
      <c r="B347" s="40"/>
    </row>
    <row r="348" spans="1:12" hidden="1" outlineLevel="1">
      <c r="A348" s="320"/>
      <c r="B348" s="40"/>
      <c r="C348" s="5"/>
      <c r="D348" s="5"/>
    </row>
    <row r="349" spans="1:12" hidden="1" outlineLevel="1">
      <c r="A349" s="320"/>
      <c r="B349" s="40"/>
      <c r="C349" s="90"/>
      <c r="D349" s="90"/>
    </row>
    <row r="350" spans="1:12" hidden="1" outlineLevel="1">
      <c r="A350" s="320"/>
      <c r="B350" s="40"/>
      <c r="C350" s="213"/>
      <c r="D350" s="213"/>
    </row>
    <row r="351" spans="1:12" hidden="1" outlineLevel="1">
      <c r="A351" s="320"/>
      <c r="B351" s="40"/>
      <c r="C351" s="214"/>
      <c r="D351" s="214"/>
    </row>
    <row r="352" spans="1:12" hidden="1" outlineLevel="1">
      <c r="A352" s="320"/>
      <c r="B352" s="40"/>
      <c r="H352" s="5"/>
      <c r="I352" s="5"/>
      <c r="J352" s="5"/>
      <c r="K352" s="5"/>
      <c r="L352" s="5"/>
    </row>
    <row r="353" spans="1:12" hidden="1" outlineLevel="1">
      <c r="A353" s="320"/>
      <c r="B353" s="40"/>
      <c r="H353" s="5"/>
      <c r="I353" s="5"/>
      <c r="J353" s="5"/>
      <c r="K353" s="5"/>
      <c r="L353" s="5"/>
    </row>
    <row r="354" spans="1:12" hidden="1" outlineLevel="1">
      <c r="A354" s="320"/>
      <c r="C354" s="122"/>
      <c r="H354" s="90"/>
      <c r="I354" s="90"/>
      <c r="J354" s="90"/>
      <c r="K354" s="90"/>
      <c r="L354" s="90"/>
    </row>
    <row r="355" spans="1:12" hidden="1" outlineLevel="1">
      <c r="A355" s="320"/>
      <c r="C355" s="122"/>
      <c r="H355" s="122"/>
      <c r="I355" s="122"/>
      <c r="J355" s="122"/>
      <c r="K355" s="122"/>
      <c r="L355" s="122"/>
    </row>
    <row r="356" spans="1:12" hidden="1" outlineLevel="1">
      <c r="A356" s="320"/>
      <c r="B356" s="40"/>
      <c r="C356" s="122"/>
      <c r="G356" s="5"/>
      <c r="H356" s="122"/>
      <c r="I356" s="122"/>
      <c r="J356" s="122"/>
      <c r="K356" s="122"/>
      <c r="L356" s="122"/>
    </row>
    <row r="357" spans="1:12" hidden="1" outlineLevel="1">
      <c r="A357" s="320"/>
      <c r="B357" s="40"/>
      <c r="C357" s="122"/>
      <c r="G357" s="5"/>
      <c r="H357" s="122"/>
      <c r="I357" s="122"/>
      <c r="J357" s="122"/>
      <c r="K357" s="122"/>
      <c r="L357" s="122"/>
    </row>
    <row r="358" spans="1:12" hidden="1" outlineLevel="1">
      <c r="B358" s="40"/>
      <c r="C358" s="5"/>
      <c r="D358" s="5"/>
      <c r="E358" s="5"/>
      <c r="F358" s="5"/>
      <c r="G358" s="90"/>
      <c r="H358" s="122"/>
      <c r="I358" s="122"/>
      <c r="J358" s="122"/>
      <c r="K358" s="122"/>
      <c r="L358" s="122"/>
    </row>
    <row r="359" spans="1:12" hidden="1" outlineLevel="1">
      <c r="B359" s="40"/>
      <c r="C359" s="5"/>
      <c r="D359" s="5"/>
      <c r="E359" s="5"/>
      <c r="F359" s="5"/>
      <c r="G359" s="122"/>
      <c r="H359" s="122"/>
      <c r="I359" s="122"/>
      <c r="J359" s="122"/>
      <c r="K359" s="122"/>
      <c r="L359" s="122"/>
    </row>
    <row r="360" spans="1:12" hidden="1" outlineLevel="1">
      <c r="B360" s="40"/>
      <c r="C360" s="90"/>
      <c r="D360" s="90"/>
      <c r="E360" s="90"/>
      <c r="F360" s="90"/>
      <c r="G360" s="122"/>
      <c r="H360" s="122"/>
      <c r="I360" s="122"/>
      <c r="J360" s="122"/>
      <c r="K360" s="122"/>
      <c r="L360" s="122"/>
    </row>
    <row r="361" spans="1:12" hidden="1" outlineLevel="1">
      <c r="B361" s="40"/>
      <c r="C361" s="122"/>
      <c r="D361" s="122"/>
      <c r="E361" s="122"/>
      <c r="F361" s="122"/>
      <c r="G361" s="122"/>
    </row>
    <row r="362" spans="1:12" hidden="1" outlineLevel="1">
      <c r="B362" s="40"/>
      <c r="C362" s="122"/>
      <c r="D362" s="122"/>
      <c r="E362" s="122"/>
      <c r="F362" s="122"/>
      <c r="G362" s="122"/>
    </row>
    <row r="363" spans="1:12" hidden="1" outlineLevel="1">
      <c r="B363" s="40"/>
      <c r="C363" s="122"/>
      <c r="D363" s="122"/>
      <c r="E363" s="122"/>
      <c r="F363" s="122"/>
      <c r="G363" s="122"/>
    </row>
    <row r="364" spans="1:12" hidden="1" outlineLevel="1">
      <c r="B364" s="40"/>
      <c r="C364" s="122"/>
      <c r="D364" s="122"/>
      <c r="E364" s="122"/>
      <c r="F364" s="122"/>
      <c r="G364" s="122"/>
    </row>
    <row r="365" spans="1:12" hidden="1" outlineLevel="1">
      <c r="C365" s="122"/>
      <c r="D365" s="122"/>
      <c r="E365" s="122"/>
      <c r="F365" s="122"/>
    </row>
    <row r="366" spans="1:12" hidden="1" outlineLevel="1">
      <c r="B366" s="94"/>
      <c r="C366" s="122"/>
      <c r="D366" s="122"/>
      <c r="E366" s="122"/>
      <c r="F366" s="122"/>
    </row>
    <row r="367" spans="1:12" hidden="1" outlineLevel="1">
      <c r="C367" s="122"/>
    </row>
    <row r="368" spans="1:12" hidden="1" outlineLevel="1">
      <c r="C368" s="122"/>
    </row>
    <row r="369" spans="1:4" hidden="1" outlineLevel="1">
      <c r="A369" s="447"/>
    </row>
    <row r="370" spans="1:4" hidden="1" outlineLevel="1">
      <c r="A370" s="448"/>
      <c r="C370" s="206"/>
    </row>
    <row r="371" spans="1:4" hidden="1" outlineLevel="1">
      <c r="A371" s="448"/>
    </row>
    <row r="372" spans="1:4" hidden="1" outlineLevel="1">
      <c r="A372" s="448"/>
    </row>
    <row r="373" spans="1:4" hidden="1" outlineLevel="1">
      <c r="A373" s="448"/>
    </row>
    <row r="374" spans="1:4" hidden="1" outlineLevel="1">
      <c r="A374" s="448"/>
    </row>
    <row r="375" spans="1:4" hidden="1" outlineLevel="1">
      <c r="A375" s="448"/>
    </row>
    <row r="376" spans="1:4" hidden="1" outlineLevel="1">
      <c r="C376" s="216"/>
    </row>
    <row r="377" spans="1:4" hidden="1" outlineLevel="1">
      <c r="C377" s="217"/>
    </row>
    <row r="378" spans="1:4" hidden="1" outlineLevel="1">
      <c r="A378" s="448"/>
      <c r="C378" s="217"/>
    </row>
    <row r="379" spans="1:4" hidden="1" outlineLevel="1">
      <c r="A379" s="448"/>
      <c r="C379" s="218"/>
      <c r="D379" s="109"/>
    </row>
    <row r="380" spans="1:4" hidden="1" outlineLevel="1">
      <c r="C380" s="92"/>
    </row>
    <row r="381" spans="1:4" hidden="1" outlineLevel="1">
      <c r="A381" s="320"/>
      <c r="C381" s="219"/>
      <c r="D381" s="109"/>
    </row>
    <row r="382" spans="1:4" hidden="1" outlineLevel="1">
      <c r="A382" s="320"/>
    </row>
    <row r="383" spans="1:4" hidden="1" outlineLevel="1">
      <c r="A383" s="320"/>
    </row>
    <row r="384" spans="1:4" hidden="1" outlineLevel="1">
      <c r="A384" s="320"/>
      <c r="C384" s="90"/>
      <c r="D384" s="109"/>
    </row>
    <row r="385" spans="1:4" hidden="1" outlineLevel="1">
      <c r="A385" s="320"/>
      <c r="C385" s="220"/>
      <c r="D385" s="109"/>
    </row>
    <row r="386" spans="1:4" hidden="1" outlineLevel="1">
      <c r="A386" s="320"/>
    </row>
    <row r="387" spans="1:4" collapsed="1">
      <c r="A387" s="320"/>
      <c r="C387" s="221"/>
    </row>
    <row r="388" spans="1:4">
      <c r="A388" s="320"/>
      <c r="C388" s="220"/>
      <c r="D388" s="109"/>
    </row>
    <row r="389" spans="1:4">
      <c r="A389" s="320"/>
    </row>
    <row r="390" spans="1:4">
      <c r="A390" s="320"/>
      <c r="C390" s="220"/>
      <c r="D390" s="109"/>
    </row>
    <row r="391" spans="1:4">
      <c r="C391" s="220"/>
    </row>
    <row r="392" spans="1:4">
      <c r="C392" s="220"/>
    </row>
    <row r="393" spans="1:4">
      <c r="A393" s="320"/>
    </row>
    <row r="394" spans="1:4">
      <c r="A394" s="320"/>
    </row>
    <row r="395" spans="1:4">
      <c r="A395" s="320"/>
    </row>
  </sheetData>
  <mergeCells count="5">
    <mergeCell ref="F78:G78"/>
    <mergeCell ref="E112:F112"/>
    <mergeCell ref="C113:D113"/>
    <mergeCell ref="C114:D114"/>
    <mergeCell ref="B5:L5"/>
  </mergeCells>
  <hyperlinks>
    <hyperlink ref="P10" r:id="rId1" display="\\njnwkfp06\PSE&amp;G\Customer Operations\CS\regulato\2015 BGS-RSCP for 2016-2017\2015-07 Initial Filing\BGS-FP Initial Filing Supporting Documents\Table1&amp;2 - OnPeak%\Table 1 - Time period usage for 2016-17 Spreadsheet.xls" xr:uid="{F1FB9558-5516-439E-8DA8-FF9DB8AA0838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FA90-F1F0-4EEE-8633-ECD90D0633A1}">
  <sheetPr codeName="Sheet1"/>
  <dimension ref="A1:AN360"/>
  <sheetViews>
    <sheetView view="pageBreakPreview" zoomScaleNormal="70" zoomScaleSheetLayoutView="100" workbookViewId="0"/>
  </sheetViews>
  <sheetFormatPr defaultColWidth="9.26953125" defaultRowHeight="13"/>
  <cols>
    <col min="1" max="1" width="13.26953125" style="4" customWidth="1"/>
    <col min="2" max="2" width="36.40625" style="1" customWidth="1"/>
    <col min="3" max="9" width="13.26953125" style="1" customWidth="1"/>
    <col min="10" max="10" width="14.7265625" style="1" customWidth="1"/>
    <col min="11" max="11" width="16.86328125" style="1" customWidth="1"/>
    <col min="12" max="12" width="14.40625" style="1" customWidth="1"/>
    <col min="13" max="13" width="16.54296875" style="1" customWidth="1"/>
    <col min="14" max="14" width="15.26953125" style="1" bestFit="1" customWidth="1"/>
    <col min="15" max="16" width="11.54296875" style="1" customWidth="1"/>
    <col min="17" max="17" width="18.40625" style="1" customWidth="1"/>
    <col min="18" max="18" width="29" style="1" bestFit="1" customWidth="1"/>
    <col min="19" max="19" width="16.40625" style="1" customWidth="1"/>
    <col min="20" max="20" width="23.7265625" style="1" bestFit="1" customWidth="1"/>
    <col min="21" max="21" width="18" style="1" bestFit="1" customWidth="1"/>
    <col min="22" max="24" width="11.54296875" style="1" customWidth="1"/>
    <col min="25" max="25" width="11.40625" style="1" bestFit="1" customWidth="1"/>
    <col min="26" max="26" width="10.26953125" style="1" customWidth="1"/>
    <col min="27" max="27" width="10.54296875" style="1" customWidth="1"/>
    <col min="28" max="28" width="12.7265625" style="1" bestFit="1" customWidth="1"/>
    <col min="29" max="29" width="9.26953125" style="1"/>
    <col min="30" max="30" width="17.54296875" style="1" customWidth="1"/>
    <col min="31" max="31" width="9.26953125" style="1"/>
    <col min="32" max="32" width="10.40625" style="1" bestFit="1" customWidth="1"/>
    <col min="33" max="33" width="10.54296875" style="1" customWidth="1"/>
    <col min="34" max="16384" width="9.26953125" style="1"/>
  </cols>
  <sheetData>
    <row r="1" spans="1:24">
      <c r="A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8"/>
    </row>
    <row r="2" spans="1:24" ht="15.5">
      <c r="B2" s="7" t="str">
        <f>Inputs!B7</f>
        <v>Development of BGS-RSCP Cost and Bid Factors for 2026/2027 BGS Filing</v>
      </c>
      <c r="C2" s="8"/>
      <c r="D2" s="8"/>
      <c r="E2" s="8"/>
      <c r="F2" s="8"/>
    </row>
    <row r="3" spans="1:24">
      <c r="A3" s="9"/>
      <c r="B3" s="10" t="s">
        <v>1</v>
      </c>
      <c r="C3" s="8"/>
      <c r="D3" s="8"/>
      <c r="E3" s="8"/>
      <c r="F3" s="8"/>
    </row>
    <row r="4" spans="1:24">
      <c r="B4" s="8"/>
      <c r="C4" s="8"/>
      <c r="D4" s="8"/>
      <c r="E4" s="11" t="str">
        <f>+Inputs!E9</f>
        <v>Based on average of year 2022, 2023 &amp; 2024 Load Profile Information</v>
      </c>
      <c r="F4" s="8"/>
    </row>
    <row r="5" spans="1:24">
      <c r="A5" s="2" t="s">
        <v>2</v>
      </c>
      <c r="B5" s="12" t="s">
        <v>3</v>
      </c>
      <c r="C5" s="13"/>
      <c r="D5" s="8"/>
      <c r="E5" s="11" t="s">
        <v>4</v>
      </c>
      <c r="F5" s="8"/>
      <c r="N5" s="12"/>
      <c r="O5" s="12" t="s">
        <v>103</v>
      </c>
      <c r="P5" s="8"/>
      <c r="Q5" s="8"/>
      <c r="R5" s="8"/>
      <c r="S5" s="8"/>
      <c r="T5" s="8"/>
      <c r="U5" s="8"/>
      <c r="V5" s="8"/>
      <c r="W5" s="8"/>
      <c r="X5" s="8"/>
    </row>
    <row r="6" spans="1:24" ht="26">
      <c r="A6" s="14"/>
      <c r="B6" s="8"/>
      <c r="C6" s="19" t="s">
        <v>5</v>
      </c>
      <c r="D6" s="19" t="s">
        <v>5</v>
      </c>
      <c r="E6" s="19" t="s">
        <v>5</v>
      </c>
      <c r="F6" s="19" t="s">
        <v>5</v>
      </c>
      <c r="G6" s="19" t="s">
        <v>5</v>
      </c>
      <c r="H6" s="19" t="s">
        <v>5</v>
      </c>
      <c r="I6" s="11" t="s">
        <v>6</v>
      </c>
      <c r="J6" s="20"/>
      <c r="K6" s="19" t="s">
        <v>5</v>
      </c>
      <c r="L6" s="19" t="s">
        <v>5</v>
      </c>
      <c r="M6" s="19"/>
      <c r="N6" s="11"/>
      <c r="O6" s="19" t="s">
        <v>5</v>
      </c>
      <c r="P6" s="19" t="s">
        <v>5</v>
      </c>
      <c r="Q6" s="19" t="s">
        <v>5</v>
      </c>
      <c r="R6" s="19" t="s">
        <v>5</v>
      </c>
      <c r="S6" s="19" t="s">
        <v>5</v>
      </c>
      <c r="T6" s="19" t="s">
        <v>5</v>
      </c>
      <c r="U6" s="11" t="s">
        <v>104</v>
      </c>
      <c r="V6" s="20"/>
      <c r="W6" s="19" t="s">
        <v>5</v>
      </c>
      <c r="X6" s="19" t="s">
        <v>5</v>
      </c>
    </row>
    <row r="7" spans="1:24">
      <c r="A7" s="14"/>
      <c r="B7" s="107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17</v>
      </c>
      <c r="M7" s="23"/>
      <c r="N7" s="24"/>
      <c r="O7" s="5" t="str">
        <f>+C7</f>
        <v>RS</v>
      </c>
      <c r="P7" s="5" t="str">
        <f t="shared" ref="P7:X7" si="0">+D7</f>
        <v>RHS</v>
      </c>
      <c r="Q7" s="5" t="str">
        <f t="shared" si="0"/>
        <v>RLM</v>
      </c>
      <c r="R7" s="5" t="str">
        <f t="shared" si="0"/>
        <v>WH</v>
      </c>
      <c r="S7" s="5" t="str">
        <f t="shared" si="0"/>
        <v>WHS</v>
      </c>
      <c r="T7" s="5" t="str">
        <f t="shared" si="0"/>
        <v>HS</v>
      </c>
      <c r="U7" s="5" t="str">
        <f t="shared" si="0"/>
        <v>PSAL</v>
      </c>
      <c r="V7" s="5" t="str">
        <f t="shared" si="0"/>
        <v>BPL</v>
      </c>
      <c r="W7" s="5" t="str">
        <f t="shared" si="0"/>
        <v>GLP</v>
      </c>
      <c r="X7" s="5" t="str">
        <f t="shared" si="0"/>
        <v>LPL-S</v>
      </c>
    </row>
    <row r="8" spans="1:24">
      <c r="A8" s="14"/>
      <c r="C8" s="5"/>
      <c r="D8" s="5"/>
      <c r="E8" s="5"/>
      <c r="F8" s="5"/>
      <c r="G8" s="5"/>
      <c r="H8" s="5"/>
      <c r="I8" s="5"/>
      <c r="J8" s="5"/>
      <c r="K8" s="5"/>
      <c r="L8" s="5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>
      <c r="A9" s="14"/>
      <c r="B9" s="31" t="s">
        <v>18</v>
      </c>
      <c r="C9" s="222">
        <f>Inputs!C14</f>
        <v>0.4758</v>
      </c>
      <c r="D9" s="222">
        <f>Inputs!D14</f>
        <v>0.46079999999999999</v>
      </c>
      <c r="E9" s="222">
        <f>Inputs!E14</f>
        <v>0.47070000000000001</v>
      </c>
      <c r="F9" s="222">
        <f>Inputs!F14</f>
        <v>0.4758</v>
      </c>
      <c r="G9" s="222">
        <f>Inputs!G14</f>
        <v>0.4758</v>
      </c>
      <c r="H9" s="222">
        <f>Inputs!H14</f>
        <v>0.46360000000000001</v>
      </c>
      <c r="I9" s="222">
        <f>Inputs!I14</f>
        <v>0.30330000000000001</v>
      </c>
      <c r="J9" s="222">
        <f>Inputs!J14</f>
        <v>0.30330000000000001</v>
      </c>
      <c r="K9" s="222">
        <f>Inputs!K14</f>
        <v>0.52059999999999995</v>
      </c>
      <c r="L9" s="222">
        <f>Inputs!L14</f>
        <v>0.50419999999999998</v>
      </c>
      <c r="M9" s="223"/>
      <c r="N9" s="224"/>
      <c r="O9" s="225">
        <f t="shared" ref="O9:X20" si="1">1-C9</f>
        <v>0.5242</v>
      </c>
      <c r="P9" s="225">
        <f t="shared" si="1"/>
        <v>0.53920000000000001</v>
      </c>
      <c r="Q9" s="225">
        <f t="shared" si="1"/>
        <v>0.52929999999999999</v>
      </c>
      <c r="R9" s="225">
        <f t="shared" si="1"/>
        <v>0.5242</v>
      </c>
      <c r="S9" s="225">
        <f t="shared" si="1"/>
        <v>0.5242</v>
      </c>
      <c r="T9" s="225">
        <f t="shared" si="1"/>
        <v>0.53639999999999999</v>
      </c>
      <c r="U9" s="225">
        <f t="shared" si="1"/>
        <v>0.69669999999999999</v>
      </c>
      <c r="V9" s="225">
        <f t="shared" si="1"/>
        <v>0.69669999999999999</v>
      </c>
      <c r="W9" s="225">
        <f t="shared" si="1"/>
        <v>0.47940000000000005</v>
      </c>
      <c r="X9" s="225">
        <f t="shared" si="1"/>
        <v>0.49580000000000002</v>
      </c>
    </row>
    <row r="10" spans="1:24">
      <c r="A10" s="14"/>
      <c r="B10" s="31" t="s">
        <v>19</v>
      </c>
      <c r="C10" s="222">
        <f>Inputs!C15</f>
        <v>0.49020000000000002</v>
      </c>
      <c r="D10" s="222">
        <f>Inputs!D15</f>
        <v>0.46600000000000003</v>
      </c>
      <c r="E10" s="222">
        <f>Inputs!E15</f>
        <v>0.48070000000000002</v>
      </c>
      <c r="F10" s="222">
        <f>Inputs!F15</f>
        <v>0.49020000000000002</v>
      </c>
      <c r="G10" s="222">
        <f>Inputs!G15</f>
        <v>0.49020000000000002</v>
      </c>
      <c r="H10" s="222">
        <f>Inputs!H15</f>
        <v>0.47010000000000002</v>
      </c>
      <c r="I10" s="222">
        <f>Inputs!I15</f>
        <v>0.2969</v>
      </c>
      <c r="J10" s="222">
        <f>Inputs!J15</f>
        <v>0.2969</v>
      </c>
      <c r="K10" s="222">
        <f>Inputs!K15</f>
        <v>0.53959999999999997</v>
      </c>
      <c r="L10" s="222">
        <f>Inputs!L15</f>
        <v>0.52390000000000003</v>
      </c>
      <c r="M10" s="223"/>
      <c r="N10" s="224"/>
      <c r="O10" s="225">
        <f t="shared" si="1"/>
        <v>0.50980000000000003</v>
      </c>
      <c r="P10" s="225">
        <f t="shared" si="1"/>
        <v>0.53400000000000003</v>
      </c>
      <c r="Q10" s="225">
        <f t="shared" si="1"/>
        <v>0.51929999999999998</v>
      </c>
      <c r="R10" s="225">
        <f t="shared" si="1"/>
        <v>0.50980000000000003</v>
      </c>
      <c r="S10" s="225">
        <f t="shared" si="1"/>
        <v>0.50980000000000003</v>
      </c>
      <c r="T10" s="225">
        <f t="shared" si="1"/>
        <v>0.52990000000000004</v>
      </c>
      <c r="U10" s="225">
        <f t="shared" si="1"/>
        <v>0.70310000000000006</v>
      </c>
      <c r="V10" s="225">
        <f t="shared" si="1"/>
        <v>0.70310000000000006</v>
      </c>
      <c r="W10" s="225">
        <f t="shared" si="1"/>
        <v>0.46040000000000003</v>
      </c>
      <c r="X10" s="225">
        <f t="shared" si="1"/>
        <v>0.47609999999999997</v>
      </c>
    </row>
    <row r="11" spans="1:24">
      <c r="A11" s="14"/>
      <c r="B11" s="31" t="s">
        <v>20</v>
      </c>
      <c r="C11" s="222">
        <f>Inputs!C16</f>
        <v>0.49980000000000002</v>
      </c>
      <c r="D11" s="222">
        <f>Inputs!D16</f>
        <v>0.48899999999999999</v>
      </c>
      <c r="E11" s="222">
        <f>Inputs!E16</f>
        <v>0.47910000000000003</v>
      </c>
      <c r="F11" s="222">
        <f>Inputs!F16</f>
        <v>0.49980000000000002</v>
      </c>
      <c r="G11" s="222">
        <f>Inputs!G16</f>
        <v>0.49980000000000002</v>
      </c>
      <c r="H11" s="222">
        <f>Inputs!H16</f>
        <v>0.49220000000000003</v>
      </c>
      <c r="I11" s="222">
        <f>Inputs!I16</f>
        <v>0.26079999999999998</v>
      </c>
      <c r="J11" s="222">
        <f>Inputs!J16</f>
        <v>0.26079999999999998</v>
      </c>
      <c r="K11" s="222">
        <f>Inputs!K16</f>
        <v>0.55689999999999995</v>
      </c>
      <c r="L11" s="222">
        <f>Inputs!L16</f>
        <v>0.53620000000000001</v>
      </c>
      <c r="M11" s="223"/>
      <c r="N11" s="224"/>
      <c r="O11" s="225">
        <f t="shared" si="1"/>
        <v>0.50019999999999998</v>
      </c>
      <c r="P11" s="225">
        <f t="shared" si="1"/>
        <v>0.51100000000000001</v>
      </c>
      <c r="Q11" s="225">
        <f t="shared" si="1"/>
        <v>0.52089999999999992</v>
      </c>
      <c r="R11" s="225">
        <f t="shared" si="1"/>
        <v>0.50019999999999998</v>
      </c>
      <c r="S11" s="225">
        <f t="shared" si="1"/>
        <v>0.50019999999999998</v>
      </c>
      <c r="T11" s="225">
        <f t="shared" si="1"/>
        <v>0.50780000000000003</v>
      </c>
      <c r="U11" s="225">
        <f t="shared" si="1"/>
        <v>0.73920000000000008</v>
      </c>
      <c r="V11" s="225">
        <f t="shared" si="1"/>
        <v>0.73920000000000008</v>
      </c>
      <c r="W11" s="225">
        <f t="shared" si="1"/>
        <v>0.44310000000000005</v>
      </c>
      <c r="X11" s="225">
        <f t="shared" si="1"/>
        <v>0.46379999999999999</v>
      </c>
    </row>
    <row r="12" spans="1:24">
      <c r="A12" s="14"/>
      <c r="B12" s="31" t="s">
        <v>21</v>
      </c>
      <c r="C12" s="222">
        <f>Inputs!C17</f>
        <v>0.48380000000000001</v>
      </c>
      <c r="D12" s="222">
        <f>Inputs!D17</f>
        <v>0.4788</v>
      </c>
      <c r="E12" s="222">
        <f>Inputs!E17</f>
        <v>0.46350000000000002</v>
      </c>
      <c r="F12" s="222">
        <f>Inputs!F17</f>
        <v>0.48380000000000001</v>
      </c>
      <c r="G12" s="222">
        <f>Inputs!G17</f>
        <v>0.48380000000000001</v>
      </c>
      <c r="H12" s="222">
        <f>Inputs!H17</f>
        <v>0.4985</v>
      </c>
      <c r="I12" s="222">
        <f>Inputs!I17</f>
        <v>0.22159999999999999</v>
      </c>
      <c r="J12" s="222">
        <f>Inputs!J17</f>
        <v>0.22159999999999999</v>
      </c>
      <c r="K12" s="222">
        <f>Inputs!K17</f>
        <v>0.53890000000000005</v>
      </c>
      <c r="L12" s="222">
        <f>Inputs!L17</f>
        <v>0.51880000000000004</v>
      </c>
      <c r="M12" s="223"/>
      <c r="N12" s="224"/>
      <c r="O12" s="225">
        <f t="shared" si="1"/>
        <v>0.51619999999999999</v>
      </c>
      <c r="P12" s="225">
        <f t="shared" si="1"/>
        <v>0.5212</v>
      </c>
      <c r="Q12" s="225">
        <f t="shared" si="1"/>
        <v>0.53649999999999998</v>
      </c>
      <c r="R12" s="225">
        <f t="shared" si="1"/>
        <v>0.51619999999999999</v>
      </c>
      <c r="S12" s="225">
        <f t="shared" si="1"/>
        <v>0.51619999999999999</v>
      </c>
      <c r="T12" s="225">
        <f t="shared" si="1"/>
        <v>0.50150000000000006</v>
      </c>
      <c r="U12" s="225">
        <f t="shared" si="1"/>
        <v>0.77839999999999998</v>
      </c>
      <c r="V12" s="225">
        <f t="shared" si="1"/>
        <v>0.77839999999999998</v>
      </c>
      <c r="W12" s="225">
        <f t="shared" si="1"/>
        <v>0.46109999999999995</v>
      </c>
      <c r="X12" s="225">
        <f t="shared" si="1"/>
        <v>0.48119999999999996</v>
      </c>
    </row>
    <row r="13" spans="1:24">
      <c r="A13" s="14"/>
      <c r="B13" s="31" t="s">
        <v>22</v>
      </c>
      <c r="C13" s="222">
        <f>Inputs!C18</f>
        <v>0.47510000000000002</v>
      </c>
      <c r="D13" s="222">
        <f>Inputs!D18</f>
        <v>0.48870000000000002</v>
      </c>
      <c r="E13" s="222">
        <f>Inputs!E18</f>
        <v>0.46889999999999998</v>
      </c>
      <c r="F13" s="222">
        <f>Inputs!F18</f>
        <v>0.47510000000000002</v>
      </c>
      <c r="G13" s="222">
        <f>Inputs!G18</f>
        <v>0.47510000000000002</v>
      </c>
      <c r="H13" s="222">
        <f>Inputs!H18</f>
        <v>0.52700000000000002</v>
      </c>
      <c r="I13" s="222">
        <f>Inputs!I18</f>
        <v>0.2109</v>
      </c>
      <c r="J13" s="222">
        <f>Inputs!J18</f>
        <v>0.2109</v>
      </c>
      <c r="K13" s="222">
        <f>Inputs!K18</f>
        <v>0.54469999999999996</v>
      </c>
      <c r="L13" s="222">
        <f>Inputs!L18</f>
        <v>0.52110000000000001</v>
      </c>
      <c r="M13" s="223"/>
      <c r="N13" s="224"/>
      <c r="O13" s="225">
        <f t="shared" si="1"/>
        <v>0.52489999999999992</v>
      </c>
      <c r="P13" s="225">
        <f t="shared" si="1"/>
        <v>0.51129999999999998</v>
      </c>
      <c r="Q13" s="225">
        <f t="shared" si="1"/>
        <v>0.53110000000000002</v>
      </c>
      <c r="R13" s="225">
        <f t="shared" si="1"/>
        <v>0.52489999999999992</v>
      </c>
      <c r="S13" s="225">
        <f t="shared" si="1"/>
        <v>0.52489999999999992</v>
      </c>
      <c r="T13" s="225">
        <f t="shared" si="1"/>
        <v>0.47299999999999998</v>
      </c>
      <c r="U13" s="225">
        <f t="shared" si="1"/>
        <v>0.78910000000000002</v>
      </c>
      <c r="V13" s="225">
        <f t="shared" si="1"/>
        <v>0.78910000000000002</v>
      </c>
      <c r="W13" s="225">
        <f t="shared" si="1"/>
        <v>0.45530000000000004</v>
      </c>
      <c r="X13" s="225">
        <f t="shared" si="1"/>
        <v>0.47889999999999999</v>
      </c>
    </row>
    <row r="14" spans="1:24">
      <c r="A14" s="14"/>
      <c r="B14" s="31" t="s">
        <v>23</v>
      </c>
      <c r="C14" s="222">
        <f>Inputs!C19</f>
        <v>0.5363</v>
      </c>
      <c r="D14" s="222">
        <f>Inputs!D19</f>
        <v>0.54310000000000003</v>
      </c>
      <c r="E14" s="222">
        <f>Inputs!E19</f>
        <v>0.53539999999999999</v>
      </c>
      <c r="F14" s="222">
        <f>Inputs!F19</f>
        <v>0.5363</v>
      </c>
      <c r="G14" s="222">
        <f>Inputs!G19</f>
        <v>0.5363</v>
      </c>
      <c r="H14" s="222">
        <f>Inputs!H19</f>
        <v>0.59330000000000005</v>
      </c>
      <c r="I14" s="222">
        <f>Inputs!I19</f>
        <v>0.20150000000000001</v>
      </c>
      <c r="J14" s="222">
        <f>Inputs!J19</f>
        <v>0.20150000000000001</v>
      </c>
      <c r="K14" s="222">
        <f>Inputs!K19</f>
        <v>0.58150000000000002</v>
      </c>
      <c r="L14" s="222">
        <f>Inputs!L19</f>
        <v>0.54969999999999997</v>
      </c>
      <c r="M14" s="223"/>
      <c r="N14" s="224"/>
      <c r="O14" s="225">
        <f t="shared" si="1"/>
        <v>0.4637</v>
      </c>
      <c r="P14" s="225">
        <f t="shared" si="1"/>
        <v>0.45689999999999997</v>
      </c>
      <c r="Q14" s="225">
        <f t="shared" si="1"/>
        <v>0.46460000000000001</v>
      </c>
      <c r="R14" s="225">
        <f t="shared" si="1"/>
        <v>0.4637</v>
      </c>
      <c r="S14" s="225">
        <f t="shared" si="1"/>
        <v>0.4637</v>
      </c>
      <c r="T14" s="225">
        <f t="shared" si="1"/>
        <v>0.40669999999999995</v>
      </c>
      <c r="U14" s="225">
        <f t="shared" si="1"/>
        <v>0.79849999999999999</v>
      </c>
      <c r="V14" s="225">
        <f t="shared" si="1"/>
        <v>0.79849999999999999</v>
      </c>
      <c r="W14" s="225">
        <f t="shared" si="1"/>
        <v>0.41849999999999998</v>
      </c>
      <c r="X14" s="225">
        <f t="shared" si="1"/>
        <v>0.45030000000000003</v>
      </c>
    </row>
    <row r="15" spans="1:24">
      <c r="A15" s="14"/>
      <c r="B15" s="31" t="s">
        <v>24</v>
      </c>
      <c r="C15" s="222">
        <f>Inputs!C20</f>
        <v>0.49409999999999998</v>
      </c>
      <c r="D15" s="222">
        <f>Inputs!D20</f>
        <v>0.49969999999999998</v>
      </c>
      <c r="E15" s="222">
        <f>Inputs!E20</f>
        <v>0.495</v>
      </c>
      <c r="F15" s="222">
        <f>Inputs!F20</f>
        <v>0.49409999999999998</v>
      </c>
      <c r="G15" s="222">
        <f>Inputs!G20</f>
        <v>0.49409999999999998</v>
      </c>
      <c r="H15" s="222">
        <f>Inputs!H20</f>
        <v>0.54749999999999999</v>
      </c>
      <c r="I15" s="222">
        <f>Inputs!I20</f>
        <v>0.18509999999999999</v>
      </c>
      <c r="J15" s="222">
        <f>Inputs!J20</f>
        <v>0.18509999999999999</v>
      </c>
      <c r="K15" s="222">
        <f>Inputs!K20</f>
        <v>0.52910000000000001</v>
      </c>
      <c r="L15" s="222">
        <f>Inputs!L20</f>
        <v>0.498</v>
      </c>
      <c r="M15" s="223"/>
      <c r="N15" s="224"/>
      <c r="O15" s="225">
        <f t="shared" si="1"/>
        <v>0.50590000000000002</v>
      </c>
      <c r="P15" s="225">
        <f t="shared" si="1"/>
        <v>0.50029999999999997</v>
      </c>
      <c r="Q15" s="225">
        <f t="shared" si="1"/>
        <v>0.505</v>
      </c>
      <c r="R15" s="225">
        <f t="shared" si="1"/>
        <v>0.50590000000000002</v>
      </c>
      <c r="S15" s="225">
        <f t="shared" si="1"/>
        <v>0.50590000000000002</v>
      </c>
      <c r="T15" s="225">
        <f t="shared" si="1"/>
        <v>0.45250000000000001</v>
      </c>
      <c r="U15" s="225">
        <f t="shared" si="1"/>
        <v>0.81489999999999996</v>
      </c>
      <c r="V15" s="225">
        <f t="shared" si="1"/>
        <v>0.81489999999999996</v>
      </c>
      <c r="W15" s="225">
        <f t="shared" si="1"/>
        <v>0.47089999999999999</v>
      </c>
      <c r="X15" s="225">
        <f t="shared" si="1"/>
        <v>0.502</v>
      </c>
    </row>
    <row r="16" spans="1:24">
      <c r="A16" s="14"/>
      <c r="B16" s="31" t="s">
        <v>25</v>
      </c>
      <c r="C16" s="222">
        <f>Inputs!C21</f>
        <v>0.53680000000000005</v>
      </c>
      <c r="D16" s="222">
        <f>Inputs!D21</f>
        <v>0.54990000000000006</v>
      </c>
      <c r="E16" s="222">
        <f>Inputs!E21</f>
        <v>0.54</v>
      </c>
      <c r="F16" s="222">
        <f>Inputs!F21</f>
        <v>0.53680000000000005</v>
      </c>
      <c r="G16" s="222">
        <f>Inputs!G21</f>
        <v>0.53680000000000005</v>
      </c>
      <c r="H16" s="222">
        <f>Inputs!H21</f>
        <v>0.59760000000000002</v>
      </c>
      <c r="I16" s="222">
        <f>Inputs!I21</f>
        <v>0.2223</v>
      </c>
      <c r="J16" s="222">
        <f>Inputs!J21</f>
        <v>0.2223</v>
      </c>
      <c r="K16" s="222">
        <f>Inputs!K21</f>
        <v>0.58379999999999999</v>
      </c>
      <c r="L16" s="222">
        <f>Inputs!L21</f>
        <v>0.55000000000000004</v>
      </c>
      <c r="M16" s="223"/>
      <c r="N16" s="224"/>
      <c r="O16" s="225">
        <f t="shared" si="1"/>
        <v>0.46319999999999995</v>
      </c>
      <c r="P16" s="225">
        <f t="shared" si="1"/>
        <v>0.45009999999999994</v>
      </c>
      <c r="Q16" s="225">
        <f t="shared" si="1"/>
        <v>0.45999999999999996</v>
      </c>
      <c r="R16" s="225">
        <f t="shared" si="1"/>
        <v>0.46319999999999995</v>
      </c>
      <c r="S16" s="225">
        <f t="shared" si="1"/>
        <v>0.46319999999999995</v>
      </c>
      <c r="T16" s="225">
        <f t="shared" si="1"/>
        <v>0.40239999999999998</v>
      </c>
      <c r="U16" s="225">
        <f t="shared" si="1"/>
        <v>0.77770000000000006</v>
      </c>
      <c r="V16" s="225">
        <f t="shared" si="1"/>
        <v>0.77770000000000006</v>
      </c>
      <c r="W16" s="225">
        <f t="shared" si="1"/>
        <v>0.41620000000000001</v>
      </c>
      <c r="X16" s="225">
        <f t="shared" si="1"/>
        <v>0.44999999999999996</v>
      </c>
    </row>
    <row r="17" spans="1:24">
      <c r="A17" s="14"/>
      <c r="B17" s="31" t="s">
        <v>26</v>
      </c>
      <c r="C17" s="222">
        <f>Inputs!C22</f>
        <v>0.48309999999999997</v>
      </c>
      <c r="D17" s="222">
        <f>Inputs!D22</f>
        <v>0.49940000000000001</v>
      </c>
      <c r="E17" s="222">
        <f>Inputs!E22</f>
        <v>0.4844</v>
      </c>
      <c r="F17" s="222">
        <f>Inputs!F22</f>
        <v>0.48309999999999997</v>
      </c>
      <c r="G17" s="222">
        <f>Inputs!G22</f>
        <v>0.48309999999999997</v>
      </c>
      <c r="H17" s="222">
        <f>Inputs!H22</f>
        <v>0.54790000000000005</v>
      </c>
      <c r="I17" s="222">
        <f>Inputs!I22</f>
        <v>0.23169999999999999</v>
      </c>
      <c r="J17" s="222">
        <f>Inputs!J22</f>
        <v>0.23169999999999999</v>
      </c>
      <c r="K17" s="222">
        <f>Inputs!K22</f>
        <v>0.54510000000000003</v>
      </c>
      <c r="L17" s="222">
        <f>Inputs!L22</f>
        <v>0.51680000000000004</v>
      </c>
      <c r="M17" s="223"/>
      <c r="N17" s="224"/>
      <c r="O17" s="225">
        <f t="shared" si="1"/>
        <v>0.51690000000000003</v>
      </c>
      <c r="P17" s="225">
        <f t="shared" si="1"/>
        <v>0.50059999999999993</v>
      </c>
      <c r="Q17" s="225">
        <f t="shared" si="1"/>
        <v>0.51560000000000006</v>
      </c>
      <c r="R17" s="225">
        <f t="shared" si="1"/>
        <v>0.51690000000000003</v>
      </c>
      <c r="S17" s="225">
        <f t="shared" si="1"/>
        <v>0.51690000000000003</v>
      </c>
      <c r="T17" s="225">
        <f t="shared" si="1"/>
        <v>0.45209999999999995</v>
      </c>
      <c r="U17" s="225">
        <f t="shared" si="1"/>
        <v>0.76829999999999998</v>
      </c>
      <c r="V17" s="225">
        <f t="shared" si="1"/>
        <v>0.76829999999999998</v>
      </c>
      <c r="W17" s="225">
        <f t="shared" si="1"/>
        <v>0.45489999999999997</v>
      </c>
      <c r="X17" s="225">
        <f t="shared" si="1"/>
        <v>0.48319999999999996</v>
      </c>
    </row>
    <row r="18" spans="1:24">
      <c r="A18" s="14"/>
      <c r="B18" s="31" t="s">
        <v>27</v>
      </c>
      <c r="C18" s="222">
        <f>Inputs!C23</f>
        <v>0.49330000000000002</v>
      </c>
      <c r="D18" s="222">
        <f>Inputs!D23</f>
        <v>0.49390000000000001</v>
      </c>
      <c r="E18" s="222">
        <f>Inputs!E23</f>
        <v>0.48259999999999997</v>
      </c>
      <c r="F18" s="222">
        <f>Inputs!F23</f>
        <v>0.49330000000000002</v>
      </c>
      <c r="G18" s="222">
        <f>Inputs!G23</f>
        <v>0.49330000000000002</v>
      </c>
      <c r="H18" s="222">
        <f>Inputs!H23</f>
        <v>0.52859999999999996</v>
      </c>
      <c r="I18" s="222">
        <f>Inputs!I23</f>
        <v>0.26769999999999999</v>
      </c>
      <c r="J18" s="222">
        <f>Inputs!J23</f>
        <v>0.26769999999999999</v>
      </c>
      <c r="K18" s="222">
        <f>Inputs!K23</f>
        <v>0.5524</v>
      </c>
      <c r="L18" s="222">
        <f>Inputs!L23</f>
        <v>0.52839999999999998</v>
      </c>
      <c r="M18" s="223"/>
      <c r="N18" s="224"/>
      <c r="O18" s="225">
        <f t="shared" si="1"/>
        <v>0.50669999999999993</v>
      </c>
      <c r="P18" s="225">
        <f t="shared" si="1"/>
        <v>0.50609999999999999</v>
      </c>
      <c r="Q18" s="225">
        <f t="shared" si="1"/>
        <v>0.51740000000000008</v>
      </c>
      <c r="R18" s="225">
        <f t="shared" si="1"/>
        <v>0.50669999999999993</v>
      </c>
      <c r="S18" s="225">
        <f t="shared" si="1"/>
        <v>0.50669999999999993</v>
      </c>
      <c r="T18" s="225">
        <f t="shared" si="1"/>
        <v>0.47140000000000004</v>
      </c>
      <c r="U18" s="225">
        <f t="shared" si="1"/>
        <v>0.73229999999999995</v>
      </c>
      <c r="V18" s="225">
        <f t="shared" si="1"/>
        <v>0.73229999999999995</v>
      </c>
      <c r="W18" s="225">
        <f t="shared" si="1"/>
        <v>0.4476</v>
      </c>
      <c r="X18" s="225">
        <f t="shared" si="1"/>
        <v>0.47160000000000002</v>
      </c>
    </row>
    <row r="19" spans="1:24">
      <c r="A19" s="14"/>
      <c r="B19" s="31" t="s">
        <v>28</v>
      </c>
      <c r="C19" s="222">
        <f>Inputs!C24</f>
        <v>0.48060000000000003</v>
      </c>
      <c r="D19" s="222">
        <f>Inputs!D24</f>
        <v>0.47189999999999999</v>
      </c>
      <c r="E19" s="222">
        <f>Inputs!E24</f>
        <v>0.47349999999999998</v>
      </c>
      <c r="F19" s="222">
        <f>Inputs!F24</f>
        <v>0.48060000000000003</v>
      </c>
      <c r="G19" s="222">
        <f>Inputs!G24</f>
        <v>0.48060000000000003</v>
      </c>
      <c r="H19" s="222">
        <f>Inputs!H24</f>
        <v>0.48599999999999999</v>
      </c>
      <c r="I19" s="222">
        <f>Inputs!I24</f>
        <v>0.30740000000000001</v>
      </c>
      <c r="J19" s="222">
        <f>Inputs!J24</f>
        <v>0.30740000000000001</v>
      </c>
      <c r="K19" s="222">
        <f>Inputs!K24</f>
        <v>0.5363</v>
      </c>
      <c r="L19" s="222">
        <f>Inputs!L24</f>
        <v>0.51639999999999997</v>
      </c>
      <c r="M19" s="223"/>
      <c r="N19" s="224"/>
      <c r="O19" s="225">
        <f t="shared" si="1"/>
        <v>0.51939999999999997</v>
      </c>
      <c r="P19" s="225">
        <f t="shared" si="1"/>
        <v>0.52810000000000001</v>
      </c>
      <c r="Q19" s="225">
        <f t="shared" si="1"/>
        <v>0.52649999999999997</v>
      </c>
      <c r="R19" s="225">
        <f t="shared" si="1"/>
        <v>0.51939999999999997</v>
      </c>
      <c r="S19" s="225">
        <f t="shared" si="1"/>
        <v>0.51939999999999997</v>
      </c>
      <c r="T19" s="225">
        <f t="shared" si="1"/>
        <v>0.51400000000000001</v>
      </c>
      <c r="U19" s="225">
        <f t="shared" si="1"/>
        <v>0.69259999999999999</v>
      </c>
      <c r="V19" s="225">
        <f t="shared" si="1"/>
        <v>0.69259999999999999</v>
      </c>
      <c r="W19" s="225">
        <f t="shared" si="1"/>
        <v>0.4637</v>
      </c>
      <c r="X19" s="225">
        <f t="shared" si="1"/>
        <v>0.48360000000000003</v>
      </c>
    </row>
    <row r="20" spans="1:24">
      <c r="A20" s="14"/>
      <c r="B20" s="31" t="s">
        <v>29</v>
      </c>
      <c r="C20" s="222">
        <f>Inputs!C25</f>
        <v>0.45789999999999997</v>
      </c>
      <c r="D20" s="222">
        <f>Inputs!D25</f>
        <v>0.44919999999999999</v>
      </c>
      <c r="E20" s="222">
        <f>Inputs!E25</f>
        <v>0.45529999999999998</v>
      </c>
      <c r="F20" s="222">
        <f>Inputs!F25</f>
        <v>0.45789999999999997</v>
      </c>
      <c r="G20" s="222">
        <f>Inputs!G25</f>
        <v>0.45789999999999997</v>
      </c>
      <c r="H20" s="222">
        <f>Inputs!H25</f>
        <v>0.45279999999999998</v>
      </c>
      <c r="I20" s="222">
        <f>Inputs!I25</f>
        <v>0.3034</v>
      </c>
      <c r="J20" s="222">
        <f>Inputs!J25</f>
        <v>0.3034</v>
      </c>
      <c r="K20" s="222">
        <f>Inputs!K25</f>
        <v>0.51049999999999995</v>
      </c>
      <c r="L20" s="222">
        <f>Inputs!L25</f>
        <v>0.49180000000000001</v>
      </c>
      <c r="M20" s="223"/>
      <c r="N20" s="224"/>
      <c r="O20" s="225">
        <f t="shared" si="1"/>
        <v>0.54210000000000003</v>
      </c>
      <c r="P20" s="225">
        <f t="shared" si="1"/>
        <v>0.55079999999999996</v>
      </c>
      <c r="Q20" s="225">
        <f t="shared" si="1"/>
        <v>0.54469999999999996</v>
      </c>
      <c r="R20" s="225">
        <f t="shared" si="1"/>
        <v>0.54210000000000003</v>
      </c>
      <c r="S20" s="225">
        <f t="shared" si="1"/>
        <v>0.54210000000000003</v>
      </c>
      <c r="T20" s="225">
        <f t="shared" si="1"/>
        <v>0.54720000000000002</v>
      </c>
      <c r="U20" s="225">
        <f t="shared" si="1"/>
        <v>0.6966</v>
      </c>
      <c r="V20" s="225">
        <f t="shared" si="1"/>
        <v>0.6966</v>
      </c>
      <c r="W20" s="225">
        <f t="shared" si="1"/>
        <v>0.48950000000000005</v>
      </c>
      <c r="X20" s="225">
        <f t="shared" si="1"/>
        <v>0.50819999999999999</v>
      </c>
    </row>
    <row r="21" spans="1:24">
      <c r="A21" s="14"/>
      <c r="B21" s="31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5"/>
      <c r="P21" s="225"/>
      <c r="Q21" s="225"/>
      <c r="R21" s="225"/>
      <c r="S21" s="225"/>
      <c r="T21" s="225"/>
      <c r="U21" s="225"/>
      <c r="V21" s="225"/>
      <c r="W21" s="225"/>
      <c r="X21" s="225"/>
    </row>
    <row r="22" spans="1:24">
      <c r="A22" s="14"/>
      <c r="B22" s="31"/>
      <c r="C22" s="224"/>
      <c r="D22" s="224"/>
      <c r="E22" s="11" t="str">
        <f>+Inputs!E9</f>
        <v>Based on average of year 2022, 2023 &amp; 2024 Load Profile Information</v>
      </c>
      <c r="K22" s="224"/>
      <c r="L22" s="224"/>
      <c r="M22" s="224"/>
      <c r="N22" s="224"/>
      <c r="O22" s="225"/>
      <c r="P22" s="225"/>
      <c r="Q22" s="225"/>
      <c r="R22" s="225"/>
      <c r="S22" s="225"/>
      <c r="T22" s="225"/>
      <c r="U22" s="225"/>
      <c r="V22" s="225"/>
      <c r="W22" s="225"/>
      <c r="X22" s="225"/>
    </row>
    <row r="23" spans="1:24">
      <c r="A23" s="2" t="s">
        <v>30</v>
      </c>
      <c r="B23" s="12" t="s">
        <v>31</v>
      </c>
      <c r="C23" s="224"/>
      <c r="D23" s="224"/>
      <c r="E23" s="226" t="str">
        <f>Inputs!E28</f>
        <v>On-Peak periods as defined in specified rate schedule (average of %s for 2022, 2023 &amp; 2024)</v>
      </c>
      <c r="G23" s="224"/>
      <c r="H23" s="224"/>
      <c r="I23" s="227"/>
      <c r="J23" s="227"/>
      <c r="K23" s="224"/>
      <c r="L23" s="224"/>
      <c r="M23" s="224"/>
      <c r="N23" s="224"/>
      <c r="O23" s="225"/>
      <c r="P23" s="225"/>
      <c r="Q23" s="225"/>
      <c r="R23" s="225"/>
      <c r="S23" s="225"/>
      <c r="T23" s="225"/>
      <c r="U23" s="225"/>
      <c r="V23" s="225"/>
      <c r="W23" s="225"/>
      <c r="X23" s="225"/>
    </row>
    <row r="24" spans="1:24" ht="26">
      <c r="A24" s="14"/>
      <c r="C24" s="19" t="s">
        <v>105</v>
      </c>
      <c r="D24" s="19" t="s">
        <v>105</v>
      </c>
      <c r="E24" s="19" t="s">
        <v>5</v>
      </c>
      <c r="F24" s="19" t="s">
        <v>105</v>
      </c>
      <c r="G24" s="19" t="s">
        <v>105</v>
      </c>
      <c r="H24" s="19" t="s">
        <v>105</v>
      </c>
      <c r="I24" s="19" t="s">
        <v>105</v>
      </c>
      <c r="J24" s="19" t="s">
        <v>105</v>
      </c>
      <c r="K24" s="19" t="s">
        <v>105</v>
      </c>
      <c r="L24" s="19" t="s">
        <v>5</v>
      </c>
      <c r="M24" s="19"/>
      <c r="N24" s="11"/>
      <c r="O24" s="19" t="s">
        <v>105</v>
      </c>
      <c r="P24" s="19" t="s">
        <v>105</v>
      </c>
      <c r="Q24" s="19" t="s">
        <v>106</v>
      </c>
      <c r="R24" s="19" t="s">
        <v>105</v>
      </c>
      <c r="S24" s="19" t="s">
        <v>105</v>
      </c>
      <c r="T24" s="19" t="s">
        <v>105</v>
      </c>
      <c r="U24" s="19" t="s">
        <v>105</v>
      </c>
      <c r="V24" s="19" t="s">
        <v>105</v>
      </c>
      <c r="W24" s="19" t="s">
        <v>105</v>
      </c>
      <c r="X24" s="19" t="s">
        <v>106</v>
      </c>
    </row>
    <row r="25" spans="1:24">
      <c r="A25" s="14"/>
      <c r="B25" s="107" t="s">
        <v>7</v>
      </c>
      <c r="C25" s="5" t="str">
        <f>+C7</f>
        <v>RS</v>
      </c>
      <c r="D25" s="5" t="str">
        <f t="shared" ref="D25:L25" si="2">+D7</f>
        <v>RHS</v>
      </c>
      <c r="E25" s="5" t="str">
        <f t="shared" si="2"/>
        <v>RLM</v>
      </c>
      <c r="F25" s="5" t="str">
        <f t="shared" si="2"/>
        <v>WH</v>
      </c>
      <c r="G25" s="5" t="str">
        <f t="shared" si="2"/>
        <v>WHS</v>
      </c>
      <c r="H25" s="5" t="str">
        <f t="shared" si="2"/>
        <v>HS</v>
      </c>
      <c r="I25" s="5" t="str">
        <f t="shared" si="2"/>
        <v>PSAL</v>
      </c>
      <c r="J25" s="5" t="str">
        <f t="shared" si="2"/>
        <v>BPL</v>
      </c>
      <c r="K25" s="5" t="str">
        <f t="shared" si="2"/>
        <v>GLP</v>
      </c>
      <c r="L25" s="5" t="str">
        <f t="shared" si="2"/>
        <v>LPL-S</v>
      </c>
      <c r="M25" s="5"/>
      <c r="N25" s="24"/>
      <c r="O25" s="5" t="str">
        <f>+C7</f>
        <v>RS</v>
      </c>
      <c r="P25" s="5" t="str">
        <f t="shared" ref="P25:X25" si="3">+D7</f>
        <v>RHS</v>
      </c>
      <c r="Q25" s="5" t="str">
        <f t="shared" si="3"/>
        <v>RLM</v>
      </c>
      <c r="R25" s="5" t="str">
        <f t="shared" si="3"/>
        <v>WH</v>
      </c>
      <c r="S25" s="5" t="str">
        <f t="shared" si="3"/>
        <v>WHS</v>
      </c>
      <c r="T25" s="5" t="str">
        <f t="shared" si="3"/>
        <v>HS</v>
      </c>
      <c r="U25" s="5" t="str">
        <f t="shared" si="3"/>
        <v>PSAL</v>
      </c>
      <c r="V25" s="5" t="str">
        <f t="shared" si="3"/>
        <v>BPL</v>
      </c>
      <c r="W25" s="5" t="str">
        <f t="shared" si="3"/>
        <v>GLP</v>
      </c>
      <c r="X25" s="5" t="str">
        <f t="shared" si="3"/>
        <v>LPL-S</v>
      </c>
    </row>
    <row r="26" spans="1:24">
      <c r="A26" s="14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>
      <c r="A27" s="14"/>
      <c r="B27" s="31" t="s">
        <v>18</v>
      </c>
      <c r="C27" s="228">
        <v>0</v>
      </c>
      <c r="D27" s="228">
        <v>0</v>
      </c>
      <c r="E27" s="228">
        <f>Inputs!C32</f>
        <v>0.42070000000000002</v>
      </c>
      <c r="F27" s="228">
        <v>0</v>
      </c>
      <c r="G27" s="228">
        <v>0</v>
      </c>
      <c r="H27" s="228">
        <v>0</v>
      </c>
      <c r="I27" s="228">
        <v>0</v>
      </c>
      <c r="J27" s="228">
        <v>0</v>
      </c>
      <c r="K27" s="228">
        <v>0</v>
      </c>
      <c r="L27" s="228">
        <f>Inputs!D32</f>
        <v>0.46029999999999999</v>
      </c>
      <c r="M27" s="223"/>
      <c r="N27" s="224"/>
      <c r="O27" s="225"/>
      <c r="P27" s="225"/>
      <c r="Q27" s="225">
        <f t="shared" ref="Q27:Q38" si="4">1-E27</f>
        <v>0.57929999999999993</v>
      </c>
      <c r="R27" s="225"/>
      <c r="S27" s="225"/>
      <c r="T27" s="225"/>
      <c r="U27" s="225"/>
      <c r="V27" s="225"/>
      <c r="W27" s="225"/>
      <c r="X27" s="225">
        <f t="shared" ref="X27:X38" si="5">1-L27</f>
        <v>0.53970000000000007</v>
      </c>
    </row>
    <row r="28" spans="1:24">
      <c r="A28" s="14"/>
      <c r="B28" s="31" t="s">
        <v>19</v>
      </c>
      <c r="C28" s="228">
        <v>0</v>
      </c>
      <c r="D28" s="228">
        <v>0</v>
      </c>
      <c r="E28" s="228">
        <f>Inputs!C33</f>
        <v>0.41270000000000001</v>
      </c>
      <c r="F28" s="228">
        <v>0</v>
      </c>
      <c r="G28" s="228">
        <v>0</v>
      </c>
      <c r="H28" s="228">
        <v>0</v>
      </c>
      <c r="I28" s="228">
        <v>0</v>
      </c>
      <c r="J28" s="228">
        <v>0</v>
      </c>
      <c r="K28" s="228">
        <v>0</v>
      </c>
      <c r="L28" s="228">
        <f>Inputs!D33</f>
        <v>0.46600000000000003</v>
      </c>
      <c r="M28" s="223"/>
      <c r="N28" s="224"/>
      <c r="O28" s="225"/>
      <c r="P28" s="225"/>
      <c r="Q28" s="225">
        <f t="shared" si="4"/>
        <v>0.58729999999999993</v>
      </c>
      <c r="R28" s="225"/>
      <c r="S28" s="225"/>
      <c r="T28" s="225"/>
      <c r="U28" s="225"/>
      <c r="V28" s="225"/>
      <c r="W28" s="225"/>
      <c r="X28" s="225">
        <f t="shared" si="5"/>
        <v>0.53400000000000003</v>
      </c>
    </row>
    <row r="29" spans="1:24">
      <c r="A29" s="14"/>
      <c r="B29" s="31" t="s">
        <v>20</v>
      </c>
      <c r="C29" s="228">
        <v>0</v>
      </c>
      <c r="D29" s="228">
        <v>0</v>
      </c>
      <c r="E29" s="228">
        <f>Inputs!C34</f>
        <v>0.40820000000000001</v>
      </c>
      <c r="F29" s="228">
        <v>0</v>
      </c>
      <c r="G29" s="228">
        <v>0</v>
      </c>
      <c r="H29" s="228">
        <v>0</v>
      </c>
      <c r="I29" s="228">
        <v>0</v>
      </c>
      <c r="J29" s="228">
        <v>0</v>
      </c>
      <c r="K29" s="228">
        <v>0</v>
      </c>
      <c r="L29" s="228">
        <f>Inputs!D34</f>
        <v>0.46389999999999998</v>
      </c>
      <c r="M29" s="223"/>
      <c r="N29" s="224"/>
      <c r="O29" s="225"/>
      <c r="P29" s="225"/>
      <c r="Q29" s="225">
        <f t="shared" si="4"/>
        <v>0.59179999999999999</v>
      </c>
      <c r="R29" s="225"/>
      <c r="S29" s="225"/>
      <c r="T29" s="225"/>
      <c r="U29" s="225"/>
      <c r="V29" s="225"/>
      <c r="W29" s="225"/>
      <c r="X29" s="225">
        <f t="shared" si="5"/>
        <v>0.53610000000000002</v>
      </c>
    </row>
    <row r="30" spans="1:24">
      <c r="A30" s="14"/>
      <c r="B30" s="31" t="s">
        <v>21</v>
      </c>
      <c r="C30" s="228">
        <v>0</v>
      </c>
      <c r="D30" s="228">
        <v>0</v>
      </c>
      <c r="E30" s="228">
        <f>Inputs!C35</f>
        <v>0.42249999999999999</v>
      </c>
      <c r="F30" s="228">
        <v>0</v>
      </c>
      <c r="G30" s="228">
        <v>0</v>
      </c>
      <c r="H30" s="228">
        <v>0</v>
      </c>
      <c r="I30" s="228">
        <v>0</v>
      </c>
      <c r="J30" s="228">
        <v>0</v>
      </c>
      <c r="K30" s="228">
        <v>0</v>
      </c>
      <c r="L30" s="228">
        <f>Inputs!D35</f>
        <v>0.46939999999999998</v>
      </c>
      <c r="M30" s="223"/>
      <c r="N30" s="224"/>
      <c r="O30" s="225"/>
      <c r="P30" s="225"/>
      <c r="Q30" s="225">
        <f t="shared" si="4"/>
        <v>0.57750000000000001</v>
      </c>
      <c r="R30" s="225"/>
      <c r="S30" s="225"/>
      <c r="T30" s="225"/>
      <c r="U30" s="225"/>
      <c r="V30" s="225"/>
      <c r="W30" s="225"/>
      <c r="X30" s="225">
        <f t="shared" si="5"/>
        <v>0.53059999999999996</v>
      </c>
    </row>
    <row r="31" spans="1:24">
      <c r="A31" s="14"/>
      <c r="B31" s="31" t="s">
        <v>22</v>
      </c>
      <c r="C31" s="228">
        <v>0</v>
      </c>
      <c r="D31" s="228">
        <v>0</v>
      </c>
      <c r="E31" s="228">
        <f>Inputs!C36</f>
        <v>0.44969999999999999</v>
      </c>
      <c r="F31" s="228">
        <v>0</v>
      </c>
      <c r="G31" s="228">
        <v>0</v>
      </c>
      <c r="H31" s="228">
        <v>0</v>
      </c>
      <c r="I31" s="228">
        <v>0</v>
      </c>
      <c r="J31" s="228">
        <v>0</v>
      </c>
      <c r="K31" s="228">
        <v>0</v>
      </c>
      <c r="L31" s="228">
        <f>Inputs!D36</f>
        <v>0.48570000000000002</v>
      </c>
      <c r="M31" s="223"/>
      <c r="N31" s="229"/>
      <c r="O31" s="225"/>
      <c r="P31" s="225"/>
      <c r="Q31" s="225">
        <f t="shared" si="4"/>
        <v>0.55030000000000001</v>
      </c>
      <c r="R31" s="225"/>
      <c r="S31" s="225"/>
      <c r="T31" s="225"/>
      <c r="U31" s="225"/>
      <c r="V31" s="225"/>
      <c r="W31" s="225"/>
      <c r="X31" s="225">
        <f t="shared" si="5"/>
        <v>0.51429999999999998</v>
      </c>
    </row>
    <row r="32" spans="1:24">
      <c r="A32" s="14"/>
      <c r="B32" s="31" t="s">
        <v>23</v>
      </c>
      <c r="C32" s="228">
        <v>0</v>
      </c>
      <c r="D32" s="228">
        <v>0</v>
      </c>
      <c r="E32" s="228">
        <f>Inputs!C37</f>
        <v>0.48110000000000003</v>
      </c>
      <c r="F32" s="228">
        <v>0</v>
      </c>
      <c r="G32" s="228">
        <v>0</v>
      </c>
      <c r="H32" s="228">
        <v>0</v>
      </c>
      <c r="I32" s="228">
        <v>0</v>
      </c>
      <c r="J32" s="228">
        <v>0</v>
      </c>
      <c r="K32" s="228">
        <v>0</v>
      </c>
      <c r="L32" s="228">
        <f>Inputs!D37</f>
        <v>0.4955</v>
      </c>
      <c r="M32" s="223"/>
      <c r="N32" s="229"/>
      <c r="O32" s="225"/>
      <c r="P32" s="225"/>
      <c r="Q32" s="225">
        <f t="shared" si="4"/>
        <v>0.51889999999999992</v>
      </c>
      <c r="R32" s="225"/>
      <c r="S32" s="225"/>
      <c r="T32" s="225"/>
      <c r="U32" s="225"/>
      <c r="V32" s="225"/>
      <c r="W32" s="225"/>
      <c r="X32" s="225">
        <f t="shared" si="5"/>
        <v>0.50449999999999995</v>
      </c>
    </row>
    <row r="33" spans="1:32">
      <c r="A33" s="14"/>
      <c r="B33" s="31" t="s">
        <v>24</v>
      </c>
      <c r="C33" s="228">
        <v>0</v>
      </c>
      <c r="D33" s="228">
        <v>0</v>
      </c>
      <c r="E33" s="228">
        <f>Inputs!C38</f>
        <v>0.4859</v>
      </c>
      <c r="F33" s="228">
        <v>0</v>
      </c>
      <c r="G33" s="228">
        <v>0</v>
      </c>
      <c r="H33" s="228">
        <v>0</v>
      </c>
      <c r="I33" s="228">
        <v>0</v>
      </c>
      <c r="J33" s="228">
        <v>0</v>
      </c>
      <c r="K33" s="228">
        <v>0</v>
      </c>
      <c r="L33" s="228">
        <f>Inputs!D38</f>
        <v>0.48309999999999997</v>
      </c>
      <c r="M33" s="223"/>
      <c r="N33" s="229"/>
      <c r="O33" s="225"/>
      <c r="P33" s="225"/>
      <c r="Q33" s="225">
        <f t="shared" si="4"/>
        <v>0.5141</v>
      </c>
      <c r="R33" s="225"/>
      <c r="S33" s="225"/>
      <c r="T33" s="225"/>
      <c r="U33" s="225"/>
      <c r="V33" s="225"/>
      <c r="W33" s="225"/>
      <c r="X33" s="225">
        <f t="shared" si="5"/>
        <v>0.51690000000000003</v>
      </c>
    </row>
    <row r="34" spans="1:32">
      <c r="A34" s="14"/>
      <c r="B34" s="31" t="s">
        <v>25</v>
      </c>
      <c r="C34" s="228">
        <v>0</v>
      </c>
      <c r="D34" s="228">
        <v>0</v>
      </c>
      <c r="E34" s="228">
        <f>Inputs!C39</f>
        <v>0.4834</v>
      </c>
      <c r="F34" s="228">
        <v>0</v>
      </c>
      <c r="G34" s="228">
        <v>0</v>
      </c>
      <c r="H34" s="228">
        <v>0</v>
      </c>
      <c r="I34" s="228">
        <v>0</v>
      </c>
      <c r="J34" s="228">
        <v>0</v>
      </c>
      <c r="K34" s="228">
        <v>0</v>
      </c>
      <c r="L34" s="228">
        <f>Inputs!D39</f>
        <v>0.48399999999999999</v>
      </c>
      <c r="M34" s="223"/>
      <c r="N34" s="229"/>
      <c r="O34" s="225"/>
      <c r="P34" s="225"/>
      <c r="Q34" s="225">
        <f t="shared" si="4"/>
        <v>0.51659999999999995</v>
      </c>
      <c r="R34" s="225"/>
      <c r="S34" s="225"/>
      <c r="T34" s="225"/>
      <c r="U34" s="225"/>
      <c r="V34" s="225"/>
      <c r="W34" s="225"/>
      <c r="X34" s="225">
        <f t="shared" si="5"/>
        <v>0.51600000000000001</v>
      </c>
    </row>
    <row r="35" spans="1:32">
      <c r="A35" s="14"/>
      <c r="B35" s="31" t="s">
        <v>26</v>
      </c>
      <c r="C35" s="228">
        <v>0</v>
      </c>
      <c r="D35" s="228">
        <v>0</v>
      </c>
      <c r="E35" s="228">
        <f>Inputs!C40</f>
        <v>0.46679999999999999</v>
      </c>
      <c r="F35" s="228">
        <v>0</v>
      </c>
      <c r="G35" s="228">
        <v>0</v>
      </c>
      <c r="H35" s="228">
        <v>0</v>
      </c>
      <c r="I35" s="228">
        <v>0</v>
      </c>
      <c r="J35" s="228">
        <v>0</v>
      </c>
      <c r="K35" s="228">
        <v>0</v>
      </c>
      <c r="L35" s="228">
        <f>Inputs!D40</f>
        <v>0.48049999999999998</v>
      </c>
      <c r="M35" s="223"/>
      <c r="N35" s="229"/>
      <c r="O35" s="225"/>
      <c r="P35" s="225"/>
      <c r="Q35" s="225">
        <f t="shared" si="4"/>
        <v>0.53320000000000001</v>
      </c>
      <c r="R35" s="225"/>
      <c r="S35" s="225"/>
      <c r="T35" s="225"/>
      <c r="U35" s="225"/>
      <c r="V35" s="225"/>
      <c r="W35" s="225"/>
      <c r="X35" s="225">
        <f t="shared" si="5"/>
        <v>0.51950000000000007</v>
      </c>
    </row>
    <row r="36" spans="1:32">
      <c r="A36" s="14"/>
      <c r="B36" s="31" t="s">
        <v>27</v>
      </c>
      <c r="C36" s="228">
        <v>0</v>
      </c>
      <c r="D36" s="228">
        <v>0</v>
      </c>
      <c r="E36" s="228">
        <f>Inputs!C41</f>
        <v>0.442</v>
      </c>
      <c r="F36" s="228">
        <v>0</v>
      </c>
      <c r="G36" s="228">
        <v>0</v>
      </c>
      <c r="H36" s="228">
        <v>0</v>
      </c>
      <c r="I36" s="228">
        <v>0</v>
      </c>
      <c r="J36" s="228">
        <v>0</v>
      </c>
      <c r="K36" s="228">
        <v>0</v>
      </c>
      <c r="L36" s="228">
        <f>Inputs!D41</f>
        <v>0.48370000000000002</v>
      </c>
      <c r="M36" s="223"/>
      <c r="N36" s="229"/>
      <c r="O36" s="225"/>
      <c r="P36" s="225"/>
      <c r="Q36" s="225">
        <f t="shared" si="4"/>
        <v>0.55800000000000005</v>
      </c>
      <c r="R36" s="225"/>
      <c r="S36" s="225"/>
      <c r="T36" s="225"/>
      <c r="U36" s="225"/>
      <c r="V36" s="225"/>
      <c r="W36" s="225"/>
      <c r="X36" s="225">
        <f t="shared" si="5"/>
        <v>0.51629999999999998</v>
      </c>
    </row>
    <row r="37" spans="1:32">
      <c r="A37" s="14"/>
      <c r="B37" s="31" t="s">
        <v>28</v>
      </c>
      <c r="C37" s="228">
        <v>0</v>
      </c>
      <c r="D37" s="228">
        <v>0</v>
      </c>
      <c r="E37" s="228">
        <f>Inputs!C42</f>
        <v>0.42299999999999999</v>
      </c>
      <c r="F37" s="228">
        <v>0</v>
      </c>
      <c r="G37" s="228">
        <v>0</v>
      </c>
      <c r="H37" s="228">
        <v>0</v>
      </c>
      <c r="I37" s="228">
        <v>0</v>
      </c>
      <c r="J37" s="228">
        <v>0</v>
      </c>
      <c r="K37" s="228">
        <v>0</v>
      </c>
      <c r="L37" s="228">
        <f>Inputs!D42</f>
        <v>0.48930000000000001</v>
      </c>
      <c r="M37" s="223"/>
      <c r="N37" s="229"/>
      <c r="O37" s="225"/>
      <c r="P37" s="225"/>
      <c r="Q37" s="225">
        <f t="shared" si="4"/>
        <v>0.57699999999999996</v>
      </c>
      <c r="R37" s="225"/>
      <c r="S37" s="225"/>
      <c r="T37" s="225"/>
      <c r="U37" s="225"/>
      <c r="V37" s="225"/>
      <c r="W37" s="225"/>
      <c r="X37" s="225">
        <f t="shared" si="5"/>
        <v>0.51069999999999993</v>
      </c>
    </row>
    <row r="38" spans="1:32">
      <c r="A38" s="14"/>
      <c r="B38" s="31" t="s">
        <v>29</v>
      </c>
      <c r="C38" s="228">
        <v>0</v>
      </c>
      <c r="D38" s="228">
        <v>0</v>
      </c>
      <c r="E38" s="228">
        <f>Inputs!C43</f>
        <v>0.41289999999999999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f>Inputs!D43</f>
        <v>0.4662</v>
      </c>
      <c r="M38" s="223"/>
      <c r="N38" s="229"/>
      <c r="O38" s="225"/>
      <c r="P38" s="225"/>
      <c r="Q38" s="225">
        <f t="shared" si="4"/>
        <v>0.58709999999999996</v>
      </c>
      <c r="R38" s="225"/>
      <c r="S38" s="225"/>
      <c r="T38" s="225"/>
      <c r="U38" s="225"/>
      <c r="V38" s="225"/>
      <c r="W38" s="225"/>
      <c r="X38" s="225">
        <f t="shared" si="5"/>
        <v>0.53380000000000005</v>
      </c>
    </row>
    <row r="39" spans="1:32">
      <c r="A39" s="14"/>
      <c r="B39" s="31"/>
      <c r="C39" s="224"/>
      <c r="D39" s="224"/>
      <c r="E39" s="224"/>
      <c r="F39" s="224"/>
      <c r="G39" s="224"/>
      <c r="H39" s="224"/>
      <c r="I39" s="227"/>
      <c r="J39" s="227"/>
      <c r="K39" s="224"/>
      <c r="L39" s="224"/>
      <c r="M39" s="224"/>
      <c r="N39" s="229"/>
      <c r="O39" s="225"/>
      <c r="P39" s="225"/>
      <c r="Q39" s="225"/>
      <c r="R39" s="225"/>
      <c r="S39" s="225"/>
      <c r="T39" s="225"/>
      <c r="U39" s="225"/>
      <c r="V39" s="225"/>
      <c r="W39" s="225"/>
      <c r="X39" s="225"/>
    </row>
    <row r="40" spans="1:32">
      <c r="A40" s="14"/>
      <c r="B40" s="31"/>
      <c r="C40" s="224"/>
      <c r="D40" s="224"/>
      <c r="E40" s="224"/>
      <c r="F40" s="224"/>
      <c r="G40" s="224"/>
      <c r="H40" s="224"/>
      <c r="I40" s="227"/>
      <c r="J40" s="227"/>
      <c r="K40" s="224"/>
      <c r="L40" s="224"/>
      <c r="M40" s="224"/>
      <c r="N40" s="229"/>
      <c r="O40" s="225"/>
      <c r="P40" s="225"/>
      <c r="Q40" s="225"/>
      <c r="R40" s="225"/>
      <c r="S40" s="225"/>
      <c r="T40" s="225"/>
      <c r="U40" s="225"/>
      <c r="V40" s="225"/>
      <c r="W40" s="225"/>
      <c r="X40" s="225"/>
    </row>
    <row r="41" spans="1:32">
      <c r="A41" s="2" t="s">
        <v>32</v>
      </c>
      <c r="B41" s="38" t="s">
        <v>33</v>
      </c>
      <c r="C41" s="5"/>
      <c r="D41" s="5"/>
      <c r="E41" s="5"/>
      <c r="F41" s="5"/>
      <c r="G41" s="5"/>
      <c r="H41" s="5"/>
      <c r="I41" s="5"/>
      <c r="J41" s="5"/>
      <c r="K41" s="5"/>
      <c r="L41" s="5"/>
      <c r="O41" s="10" t="s">
        <v>107</v>
      </c>
    </row>
    <row r="42" spans="1:32">
      <c r="A42" s="14"/>
      <c r="B42" s="230" t="str">
        <f>Inputs!B47</f>
        <v>Calendar month sales forecasted for 2025, less % for LPL-Sec &gt; 500 kW Peak Load Share</v>
      </c>
      <c r="G42" s="231"/>
      <c r="L42" s="5" t="s">
        <v>108</v>
      </c>
      <c r="AB42" s="40" t="s">
        <v>109</v>
      </c>
      <c r="AD42" s="10" t="s">
        <v>35</v>
      </c>
    </row>
    <row r="43" spans="1:32">
      <c r="A43" s="14"/>
      <c r="B43" s="11" t="s">
        <v>34</v>
      </c>
      <c r="C43" s="5" t="str">
        <f>+C7</f>
        <v>RS</v>
      </c>
      <c r="D43" s="5" t="str">
        <f t="shared" ref="D43:L43" si="6">+D7</f>
        <v>RHS</v>
      </c>
      <c r="E43" s="5" t="str">
        <f t="shared" si="6"/>
        <v>RLM</v>
      </c>
      <c r="F43" s="5" t="str">
        <f t="shared" si="6"/>
        <v>WH</v>
      </c>
      <c r="G43" s="5" t="str">
        <f t="shared" si="6"/>
        <v>WHS</v>
      </c>
      <c r="H43" s="5" t="str">
        <f t="shared" si="6"/>
        <v>HS</v>
      </c>
      <c r="I43" s="5" t="str">
        <f t="shared" si="6"/>
        <v>PSAL</v>
      </c>
      <c r="J43" s="5" t="str">
        <f t="shared" si="6"/>
        <v>BPL</v>
      </c>
      <c r="K43" s="5" t="str">
        <f t="shared" si="6"/>
        <v>GLP</v>
      </c>
      <c r="L43" s="5" t="str">
        <f t="shared" si="6"/>
        <v>LPL-S</v>
      </c>
      <c r="M43" s="5"/>
      <c r="N43" s="5"/>
      <c r="O43" s="5" t="str">
        <f>+C7</f>
        <v>RS</v>
      </c>
      <c r="P43" s="5" t="str">
        <f t="shared" ref="P43:X43" si="7">+D7</f>
        <v>RHS</v>
      </c>
      <c r="Q43" s="5" t="str">
        <f t="shared" si="7"/>
        <v>RLM</v>
      </c>
      <c r="R43" s="5" t="str">
        <f t="shared" si="7"/>
        <v>WH</v>
      </c>
      <c r="S43" s="5" t="str">
        <f t="shared" si="7"/>
        <v>WHS</v>
      </c>
      <c r="T43" s="5" t="str">
        <f t="shared" si="7"/>
        <v>HS</v>
      </c>
      <c r="U43" s="5" t="str">
        <f t="shared" si="7"/>
        <v>PSAL</v>
      </c>
      <c r="V43" s="5" t="str">
        <f t="shared" si="7"/>
        <v>BPL</v>
      </c>
      <c r="W43" s="5" t="str">
        <f t="shared" si="7"/>
        <v>GLP</v>
      </c>
      <c r="X43" s="5" t="str">
        <f t="shared" si="7"/>
        <v>LPL-S</v>
      </c>
      <c r="Y43" s="5"/>
      <c r="Z43" s="5" t="s">
        <v>110</v>
      </c>
      <c r="AB43" s="40" t="s">
        <v>17</v>
      </c>
      <c r="AD43" s="232" t="s">
        <v>36</v>
      </c>
      <c r="AE43" s="232" t="s">
        <v>36</v>
      </c>
      <c r="AF43" s="40" t="s">
        <v>36</v>
      </c>
    </row>
    <row r="44" spans="1:32">
      <c r="A44" s="14"/>
      <c r="C44" s="5"/>
      <c r="D44" s="5"/>
      <c r="E44" s="5"/>
      <c r="F44" s="5"/>
      <c r="G44" s="5"/>
      <c r="H44" s="5"/>
      <c r="I44" s="5"/>
      <c r="J44" s="5"/>
      <c r="K44" s="5"/>
      <c r="L44" s="5"/>
      <c r="Y44" s="41"/>
      <c r="AB44" s="40"/>
      <c r="AD44" s="40" t="s">
        <v>37</v>
      </c>
      <c r="AE44" s="40" t="s">
        <v>38</v>
      </c>
      <c r="AF44" s="40" t="s">
        <v>111</v>
      </c>
    </row>
    <row r="45" spans="1:32">
      <c r="A45" s="14"/>
      <c r="B45" s="31" t="s">
        <v>18</v>
      </c>
      <c r="C45" s="233">
        <f>Inputs!C50</f>
        <v>1241003.8436743093</v>
      </c>
      <c r="D45" s="233">
        <f>Inputs!D50</f>
        <v>12154.925390531822</v>
      </c>
      <c r="E45" s="233">
        <f>Inputs!E50</f>
        <v>14456.854408861696</v>
      </c>
      <c r="F45" s="233">
        <f>Inputs!F50</f>
        <v>24</v>
      </c>
      <c r="G45" s="233">
        <f>Inputs!G50</f>
        <v>1</v>
      </c>
      <c r="H45" s="233">
        <f>Inputs!H50</f>
        <v>1456.4688734030196</v>
      </c>
      <c r="I45" s="233">
        <f>Inputs!I50</f>
        <v>16007</v>
      </c>
      <c r="J45" s="233">
        <f>Inputs!J50</f>
        <v>33689</v>
      </c>
      <c r="K45" s="233">
        <f>Inputs!K50</f>
        <v>533140.57393587544</v>
      </c>
      <c r="L45" s="234">
        <f>AB45*$M$45</f>
        <v>441957.08634937543</v>
      </c>
      <c r="M45" s="235">
        <f>(1-AD45)</f>
        <v>0.70384277450938582</v>
      </c>
      <c r="N45" s="94" t="s">
        <v>112</v>
      </c>
      <c r="O45" s="66">
        <f>SUM(C45:C49,C54:C56)</f>
        <v>7804059.2575487085</v>
      </c>
      <c r="P45" s="41">
        <f t="shared" ref="P45:X45" si="8">SUM(D45:D49,D54:D56)</f>
        <v>56658.312282022591</v>
      </c>
      <c r="Q45" s="41">
        <f t="shared" si="8"/>
        <v>92255.21314087903</v>
      </c>
      <c r="R45" s="41">
        <f t="shared" si="8"/>
        <v>167</v>
      </c>
      <c r="S45" s="41">
        <f t="shared" si="8"/>
        <v>7</v>
      </c>
      <c r="T45" s="41">
        <f t="shared" si="8"/>
        <v>7094.8693207725728</v>
      </c>
      <c r="U45" s="41">
        <f t="shared" si="8"/>
        <v>97539</v>
      </c>
      <c r="V45" s="41">
        <f t="shared" si="8"/>
        <v>220689</v>
      </c>
      <c r="W45" s="41">
        <f t="shared" si="8"/>
        <v>3893583.2432799879</v>
      </c>
      <c r="X45" s="41">
        <f t="shared" si="8"/>
        <v>3283859.9115976067</v>
      </c>
      <c r="Y45" s="41">
        <f>SUM(O45:X45)</f>
        <v>15455912.807169978</v>
      </c>
      <c r="Z45" s="236">
        <f>+Y45/(Y45+Y49)</f>
        <v>0.61104402940398916</v>
      </c>
      <c r="AB45" s="237">
        <f>Inputs!L50</f>
        <v>627920.18666021258</v>
      </c>
      <c r="AD45" s="238">
        <f>Inputs!C66</f>
        <v>0.29615722549061424</v>
      </c>
      <c r="AE45" s="239">
        <f>Inputs!D66</f>
        <v>0.28303013209232364</v>
      </c>
      <c r="AF45" s="45">
        <f>AE45</f>
        <v>0.28303013209232364</v>
      </c>
    </row>
    <row r="46" spans="1:32">
      <c r="A46" s="14"/>
      <c r="B46" s="31" t="s">
        <v>19</v>
      </c>
      <c r="C46" s="233">
        <f>Inputs!C51</f>
        <v>1000259.3917750381</v>
      </c>
      <c r="D46" s="233">
        <f>Inputs!D51</f>
        <v>9229.0465827203188</v>
      </c>
      <c r="E46" s="233">
        <f>Inputs!E51</f>
        <v>11890.728484059684</v>
      </c>
      <c r="F46" s="233">
        <f>Inputs!F51</f>
        <v>19</v>
      </c>
      <c r="G46" s="233">
        <f>Inputs!G51</f>
        <v>1</v>
      </c>
      <c r="H46" s="233">
        <f>Inputs!H51</f>
        <v>1322.0528025121521</v>
      </c>
      <c r="I46" s="233">
        <f>Inputs!I51</f>
        <v>11363</v>
      </c>
      <c r="J46" s="233">
        <f>Inputs!J51</f>
        <v>27773</v>
      </c>
      <c r="K46" s="233">
        <f>Inputs!K51</f>
        <v>486962.45517886471</v>
      </c>
      <c r="L46" s="234">
        <f t="shared" ref="L46:L56" si="9">AB46*$M$45</f>
        <v>394674.67583824444</v>
      </c>
      <c r="M46" s="47"/>
      <c r="N46" s="94" t="s">
        <v>113</v>
      </c>
      <c r="O46" s="41"/>
      <c r="P46" s="41"/>
      <c r="Q46" s="41">
        <f>SUMPRODUCT(E27:E31,E45:E49)+SUMPRODUCT(E36:E38,E54:E56)</f>
        <v>39075.621720067647</v>
      </c>
      <c r="R46" s="41"/>
      <c r="X46" s="41">
        <f>SUMPRODUCT(L27:L31,L45:L49)+SUMPRODUCT(L36:L38,L54:L56)</f>
        <v>1552730.1573699911</v>
      </c>
      <c r="Y46" s="41"/>
      <c r="Z46" s="236"/>
      <c r="AB46" s="237">
        <f>Inputs!L51</f>
        <v>560742.66886287602</v>
      </c>
      <c r="AD46" s="46"/>
    </row>
    <row r="47" spans="1:32">
      <c r="A47" s="14"/>
      <c r="B47" s="31" t="s">
        <v>20</v>
      </c>
      <c r="C47" s="233">
        <f>Inputs!C52</f>
        <v>979307.01201027271</v>
      </c>
      <c r="D47" s="233">
        <f>Inputs!D52</f>
        <v>7612.5497272216617</v>
      </c>
      <c r="E47" s="233">
        <f>Inputs!E52</f>
        <v>11527.495856016361</v>
      </c>
      <c r="F47" s="233">
        <f>Inputs!F52</f>
        <v>21</v>
      </c>
      <c r="G47" s="233">
        <f>Inputs!G52</f>
        <v>1</v>
      </c>
      <c r="H47" s="233">
        <f>Inputs!H52</f>
        <v>1084.1717296855509</v>
      </c>
      <c r="I47" s="233">
        <f>Inputs!I52</f>
        <v>12009</v>
      </c>
      <c r="J47" s="233">
        <f>Inputs!J52</f>
        <v>31037</v>
      </c>
      <c r="K47" s="233">
        <f>Inputs!K52</f>
        <v>521645.52362982713</v>
      </c>
      <c r="L47" s="234">
        <f t="shared" si="9"/>
        <v>431945.20757142006</v>
      </c>
      <c r="M47" s="47"/>
      <c r="N47" s="94" t="s">
        <v>114</v>
      </c>
      <c r="O47" s="41">
        <f>+O45-O46</f>
        <v>7804059.2575487085</v>
      </c>
      <c r="P47" s="41">
        <f>+P45-P46</f>
        <v>56658.312282022591</v>
      </c>
      <c r="Q47" s="41">
        <f>+Q45-Q46</f>
        <v>53179.591420811383</v>
      </c>
      <c r="R47" s="41">
        <f>+R45-R46</f>
        <v>167</v>
      </c>
      <c r="X47" s="41">
        <f>+X45-X46</f>
        <v>1731129.7542276157</v>
      </c>
      <c r="Y47" s="41"/>
      <c r="Z47" s="48"/>
      <c r="AB47" s="237">
        <f>Inputs!L52</f>
        <v>613695.59113895544</v>
      </c>
    </row>
    <row r="48" spans="1:32">
      <c r="A48" s="14"/>
      <c r="B48" s="31" t="s">
        <v>21</v>
      </c>
      <c r="C48" s="233">
        <f>Inputs!C53</f>
        <v>819857.47976373206</v>
      </c>
      <c r="D48" s="233">
        <f>Inputs!D53</f>
        <v>4050.0168502662377</v>
      </c>
      <c r="E48" s="233">
        <f>Inputs!E53</f>
        <v>10057.921261156454</v>
      </c>
      <c r="F48" s="233">
        <f>Inputs!F53</f>
        <v>21</v>
      </c>
      <c r="G48" s="233">
        <f>Inputs!G53</f>
        <v>1</v>
      </c>
      <c r="H48" s="233">
        <f>Inputs!H53</f>
        <v>612.83116531165308</v>
      </c>
      <c r="I48" s="233">
        <f>Inputs!I53</f>
        <v>10071</v>
      </c>
      <c r="J48" s="233">
        <f>Inputs!J53</f>
        <v>23847</v>
      </c>
      <c r="K48" s="233">
        <f>Inputs!K53</f>
        <v>454663.19345650577</v>
      </c>
      <c r="L48" s="234">
        <f t="shared" si="9"/>
        <v>373137.09647042735</v>
      </c>
      <c r="M48" s="47"/>
      <c r="Y48" s="41"/>
      <c r="AB48" s="237">
        <f>Inputs!L53</f>
        <v>530142.68240591499</v>
      </c>
    </row>
    <row r="49" spans="1:28">
      <c r="A49" s="14"/>
      <c r="B49" s="31" t="s">
        <v>22</v>
      </c>
      <c r="C49" s="233">
        <f>Inputs!C54</f>
        <v>893270.24831323198</v>
      </c>
      <c r="D49" s="233">
        <f>Inputs!D54</f>
        <v>2871.2806028006908</v>
      </c>
      <c r="E49" s="233">
        <f>Inputs!E54</f>
        <v>11876.042528747959</v>
      </c>
      <c r="F49" s="233">
        <f>Inputs!F54</f>
        <v>18</v>
      </c>
      <c r="G49" s="233">
        <f>Inputs!G54</f>
        <v>1</v>
      </c>
      <c r="H49" s="233">
        <f>Inputs!H54</f>
        <v>441.27381167462465</v>
      </c>
      <c r="I49" s="233">
        <f>Inputs!I54</f>
        <v>8784</v>
      </c>
      <c r="J49" s="233">
        <f>Inputs!J54</f>
        <v>22335</v>
      </c>
      <c r="K49" s="233">
        <f>Inputs!K54</f>
        <v>456088.19969279272</v>
      </c>
      <c r="L49" s="234">
        <f t="shared" si="9"/>
        <v>409687.30435206858</v>
      </c>
      <c r="N49" s="94" t="s">
        <v>115</v>
      </c>
      <c r="O49" s="66">
        <f>SUM(C50:C53)</f>
        <v>5589842.6767123863</v>
      </c>
      <c r="P49" s="41">
        <f t="shared" ref="P49:X49" si="10">+SUM(D50:D53)</f>
        <v>15882.227850466301</v>
      </c>
      <c r="Q49" s="41">
        <f t="shared" si="10"/>
        <v>73168.366554074295</v>
      </c>
      <c r="R49" s="41">
        <f t="shared" si="10"/>
        <v>66</v>
      </c>
      <c r="S49" s="41">
        <f t="shared" si="10"/>
        <v>1</v>
      </c>
      <c r="T49" s="41">
        <f t="shared" si="10"/>
        <v>2143.5826042069943</v>
      </c>
      <c r="U49" s="41">
        <f t="shared" si="10"/>
        <v>37181</v>
      </c>
      <c r="V49" s="41">
        <f t="shared" si="10"/>
        <v>80025</v>
      </c>
      <c r="W49" s="41">
        <f t="shared" si="10"/>
        <v>2206634.4717590902</v>
      </c>
      <c r="X49" s="41">
        <f t="shared" si="10"/>
        <v>1833413.1055282757</v>
      </c>
      <c r="Y49" s="41">
        <f>SUM(O49:X49)</f>
        <v>9838357.4310084991</v>
      </c>
      <c r="Z49" s="48">
        <f>1-Z45</f>
        <v>0.38895597059601084</v>
      </c>
      <c r="AB49" s="237">
        <f>Inputs!L54</f>
        <v>582072.18883171945</v>
      </c>
    </row>
    <row r="50" spans="1:28">
      <c r="A50" s="14"/>
      <c r="B50" s="31" t="s">
        <v>23</v>
      </c>
      <c r="C50" s="233">
        <f>Inputs!C55</f>
        <v>1288316.364953649</v>
      </c>
      <c r="D50" s="233">
        <f>Inputs!D55</f>
        <v>3622.0059216993436</v>
      </c>
      <c r="E50" s="233">
        <f>Inputs!E55</f>
        <v>17758.257162937385</v>
      </c>
      <c r="F50" s="233">
        <f>Inputs!F55</f>
        <v>18</v>
      </c>
      <c r="G50" s="233">
        <f>Inputs!G55</f>
        <v>1</v>
      </c>
      <c r="H50" s="233">
        <f>Inputs!H55</f>
        <v>517.32500967866815</v>
      </c>
      <c r="I50" s="233">
        <f>Inputs!I55</f>
        <v>8414</v>
      </c>
      <c r="J50" s="233">
        <f>Inputs!J55</f>
        <v>19512</v>
      </c>
      <c r="K50" s="233">
        <f>Inputs!K55</f>
        <v>522199.69272171654</v>
      </c>
      <c r="L50" s="234">
        <f t="shared" si="9"/>
        <v>434847.26158999384</v>
      </c>
      <c r="M50" s="47"/>
      <c r="N50" s="94" t="s">
        <v>113</v>
      </c>
      <c r="O50" s="66"/>
      <c r="Q50" s="41">
        <f>+SUMPRODUCT(E32:E35,E50:E53)</f>
        <v>35138.410993201906</v>
      </c>
      <c r="X50" s="41">
        <f>+SUMPRODUCT(L32:L35,L50:L53)</f>
        <v>890459.83000916615</v>
      </c>
      <c r="Y50" s="41"/>
      <c r="Z50" s="236"/>
      <c r="AB50" s="237">
        <f>Inputs!L55</f>
        <v>617818.74779222463</v>
      </c>
    </row>
    <row r="51" spans="1:28">
      <c r="A51" s="14"/>
      <c r="B51" s="31" t="s">
        <v>24</v>
      </c>
      <c r="C51" s="233">
        <f>Inputs!C56</f>
        <v>1648474.866663716</v>
      </c>
      <c r="D51" s="233">
        <f>Inputs!D56</f>
        <v>4772.4680987128631</v>
      </c>
      <c r="E51" s="233">
        <f>Inputs!E56</f>
        <v>21283.865501438737</v>
      </c>
      <c r="F51" s="233">
        <f>Inputs!F56</f>
        <v>15</v>
      </c>
      <c r="G51" s="233">
        <f>Inputs!G56</f>
        <v>0</v>
      </c>
      <c r="H51" s="233">
        <f>Inputs!H56</f>
        <v>475.76214565320254</v>
      </c>
      <c r="I51" s="233">
        <f>Inputs!I56</f>
        <v>8404</v>
      </c>
      <c r="J51" s="233">
        <f>Inputs!J56</f>
        <v>18630</v>
      </c>
      <c r="K51" s="233">
        <f>Inputs!K56</f>
        <v>581742.08292805322</v>
      </c>
      <c r="L51" s="234">
        <f t="shared" si="9"/>
        <v>478148.68920118205</v>
      </c>
      <c r="M51" s="47"/>
      <c r="N51" s="94" t="s">
        <v>114</v>
      </c>
      <c r="O51" s="66"/>
      <c r="Q51" s="41">
        <f>+Q49-Q50</f>
        <v>38029.955560872389</v>
      </c>
      <c r="X51" s="41">
        <f>+X49-X50</f>
        <v>942953.27551910956</v>
      </c>
      <c r="Y51" s="41"/>
      <c r="Z51" s="48"/>
      <c r="AB51" s="237">
        <f>Inputs!L56</f>
        <v>679340.19715479214</v>
      </c>
    </row>
    <row r="52" spans="1:28">
      <c r="A52" s="14"/>
      <c r="B52" s="31" t="s">
        <v>25</v>
      </c>
      <c r="C52" s="233">
        <f>Inputs!C57</f>
        <v>1569321.8678781567</v>
      </c>
      <c r="D52" s="233">
        <f>Inputs!D57</f>
        <v>4410.7549905162396</v>
      </c>
      <c r="E52" s="233">
        <f>Inputs!E57</f>
        <v>19454.974533285302</v>
      </c>
      <c r="F52" s="233">
        <f>Inputs!F57</f>
        <v>14</v>
      </c>
      <c r="G52" s="233">
        <f>Inputs!G57</f>
        <v>0</v>
      </c>
      <c r="H52" s="233">
        <f>Inputs!H57</f>
        <v>565.07808749516062</v>
      </c>
      <c r="I52" s="233">
        <f>Inputs!I57</f>
        <v>9656</v>
      </c>
      <c r="J52" s="233">
        <f>Inputs!J57</f>
        <v>19365</v>
      </c>
      <c r="K52" s="233">
        <f>Inputs!K57</f>
        <v>590332.58348581777</v>
      </c>
      <c r="L52" s="234">
        <f t="shared" si="9"/>
        <v>496839.22487338108</v>
      </c>
      <c r="M52" s="47"/>
      <c r="AB52" s="237">
        <f>Inputs!L57</f>
        <v>705895.18407673261</v>
      </c>
    </row>
    <row r="53" spans="1:28">
      <c r="A53" s="14"/>
      <c r="B53" s="31" t="s">
        <v>26</v>
      </c>
      <c r="C53" s="233">
        <f>Inputs!C58</f>
        <v>1083729.5772168648</v>
      </c>
      <c r="D53" s="233">
        <f>Inputs!D58</f>
        <v>3076.9988395378541</v>
      </c>
      <c r="E53" s="233">
        <f>Inputs!E58</f>
        <v>14671.269356412875</v>
      </c>
      <c r="F53" s="233">
        <f>Inputs!F58</f>
        <v>19</v>
      </c>
      <c r="G53" s="233">
        <f>Inputs!G58</f>
        <v>0</v>
      </c>
      <c r="H53" s="233">
        <f>Inputs!H58</f>
        <v>585.41736137996304</v>
      </c>
      <c r="I53" s="233">
        <f>Inputs!I58</f>
        <v>10707</v>
      </c>
      <c r="J53" s="233">
        <f>Inputs!J58</f>
        <v>22518</v>
      </c>
      <c r="K53" s="233">
        <f>Inputs!K58</f>
        <v>512360.11262350285</v>
      </c>
      <c r="L53" s="234">
        <f t="shared" si="9"/>
        <v>423577.92986371863</v>
      </c>
      <c r="M53" s="47"/>
      <c r="N53" s="94" t="s">
        <v>116</v>
      </c>
      <c r="O53" s="66">
        <f>+O49*C169</f>
        <v>3611038.3691562018</v>
      </c>
      <c r="P53" s="66">
        <f>+P49*D169</f>
        <v>10498.152609158225</v>
      </c>
      <c r="AB53" s="237">
        <f>Inputs!L58</f>
        <v>601807.59852081165</v>
      </c>
    </row>
    <row r="54" spans="1:28">
      <c r="A54" s="14"/>
      <c r="B54" s="31" t="s">
        <v>27</v>
      </c>
      <c r="C54" s="233">
        <f>Inputs!C59</f>
        <v>858721.96700011683</v>
      </c>
      <c r="D54" s="233">
        <f>Inputs!D59</f>
        <v>4338.6073624662395</v>
      </c>
      <c r="E54" s="233">
        <f>Inputs!E59</f>
        <v>10135.26729246487</v>
      </c>
      <c r="F54" s="233">
        <f>Inputs!F59</f>
        <v>19</v>
      </c>
      <c r="G54" s="233">
        <f>Inputs!G59</f>
        <v>0</v>
      </c>
      <c r="H54" s="233">
        <f>Inputs!H59</f>
        <v>446.57970920979051</v>
      </c>
      <c r="I54" s="233">
        <f>Inputs!I59</f>
        <v>12013</v>
      </c>
      <c r="J54" s="233">
        <f>Inputs!J59</f>
        <v>24926</v>
      </c>
      <c r="K54" s="233">
        <f>Inputs!K59</f>
        <v>471350.72019020963</v>
      </c>
      <c r="L54" s="234">
        <f t="shared" si="9"/>
        <v>418224.28371643543</v>
      </c>
      <c r="M54" s="47"/>
      <c r="N54" s="94" t="s">
        <v>117</v>
      </c>
      <c r="O54" s="41">
        <f>+O49-O53</f>
        <v>1978804.3075561845</v>
      </c>
      <c r="P54" s="41">
        <f>+P49-P53</f>
        <v>5384.0752413080754</v>
      </c>
      <c r="AB54" s="237">
        <f>Inputs!L59</f>
        <v>594201.28878634726</v>
      </c>
    </row>
    <row r="55" spans="1:28">
      <c r="A55" s="14"/>
      <c r="B55" s="31" t="s">
        <v>28</v>
      </c>
      <c r="C55" s="233">
        <f>Inputs!C60</f>
        <v>876219.22441367141</v>
      </c>
      <c r="D55" s="233">
        <f>Inputs!D60</f>
        <v>6786.7518764331444</v>
      </c>
      <c r="E55" s="233">
        <f>Inputs!E60</f>
        <v>9773.0137281089974</v>
      </c>
      <c r="F55" s="233">
        <f>Inputs!F60</f>
        <v>23</v>
      </c>
      <c r="G55" s="233">
        <f>Inputs!G60</f>
        <v>1</v>
      </c>
      <c r="H55" s="233">
        <f>Inputs!H60</f>
        <v>626.09590914956766</v>
      </c>
      <c r="I55" s="233">
        <f>Inputs!I60</f>
        <v>12924</v>
      </c>
      <c r="J55" s="233">
        <f>Inputs!J60</f>
        <v>25965</v>
      </c>
      <c r="K55" s="233">
        <f>Inputs!K60</f>
        <v>444445.37096224062</v>
      </c>
      <c r="L55" s="234">
        <f t="shared" si="9"/>
        <v>388431.0041827613</v>
      </c>
      <c r="M55" s="47"/>
      <c r="AB55" s="237">
        <f>Inputs!L60</f>
        <v>551871.83594165253</v>
      </c>
    </row>
    <row r="56" spans="1:28">
      <c r="A56" s="14"/>
      <c r="B56" s="31" t="s">
        <v>29</v>
      </c>
      <c r="C56" s="233">
        <f>Inputs!C61</f>
        <v>1135420.090598335</v>
      </c>
      <c r="D56" s="233">
        <f>Inputs!D61</f>
        <v>9615.1338895824829</v>
      </c>
      <c r="E56" s="233">
        <f>Inputs!E61</f>
        <v>12537.889581463014</v>
      </c>
      <c r="F56" s="233">
        <f>Inputs!F61</f>
        <v>22</v>
      </c>
      <c r="G56" s="233">
        <f>Inputs!G61</f>
        <v>1</v>
      </c>
      <c r="H56" s="233">
        <f>Inputs!H61</f>
        <v>1105.3953198262141</v>
      </c>
      <c r="I56" s="233">
        <f>Inputs!I61</f>
        <v>14368</v>
      </c>
      <c r="J56" s="233">
        <f>Inputs!J61</f>
        <v>31117</v>
      </c>
      <c r="K56" s="233">
        <f>Inputs!K61</f>
        <v>525287.20623367163</v>
      </c>
      <c r="L56" s="234">
        <f t="shared" si="9"/>
        <v>425803.25311687402</v>
      </c>
      <c r="M56" s="47"/>
      <c r="AB56" s="237">
        <f>Inputs!L61</f>
        <v>604969.27515336149</v>
      </c>
    </row>
    <row r="57" spans="1:28">
      <c r="A57" s="14"/>
      <c r="B57" s="240" t="s">
        <v>109</v>
      </c>
      <c r="C57" s="41">
        <f>SUM(C45:C56)</f>
        <v>13393901.934261097</v>
      </c>
      <c r="D57" s="41">
        <f>SUM(D45:D56)</f>
        <v>72540.540132488895</v>
      </c>
      <c r="E57" s="41">
        <f t="shared" ref="E57:K57" si="11">SUM(E45:E56)</f>
        <v>165423.57969495334</v>
      </c>
      <c r="F57" s="41">
        <f t="shared" si="11"/>
        <v>233</v>
      </c>
      <c r="G57" s="41">
        <f t="shared" si="11"/>
        <v>8</v>
      </c>
      <c r="H57" s="41">
        <f>SUM(H45:H56)</f>
        <v>9238.4519249795667</v>
      </c>
      <c r="I57" s="41">
        <f>SUM(I45:I56)</f>
        <v>134720</v>
      </c>
      <c r="J57" s="41">
        <f>SUM(J45:J56)</f>
        <v>300714</v>
      </c>
      <c r="K57" s="41">
        <f t="shared" si="11"/>
        <v>6100217.7150390781</v>
      </c>
      <c r="L57" s="41">
        <f>SUM(L45:L56)</f>
        <v>5117273.0171258831</v>
      </c>
      <c r="M57" s="41"/>
      <c r="O57" s="10" t="s">
        <v>118</v>
      </c>
      <c r="AB57" s="41">
        <f>SUM(AB45:AB56)</f>
        <v>7270477.4453256009</v>
      </c>
    </row>
    <row r="58" spans="1:28">
      <c r="A58" s="14"/>
      <c r="B58" s="3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O58" s="11" t="s">
        <v>119</v>
      </c>
      <c r="AB58" s="58"/>
    </row>
    <row r="59" spans="1:28">
      <c r="A59" s="14"/>
      <c r="L59" s="41"/>
      <c r="Y59" s="5" t="s">
        <v>109</v>
      </c>
      <c r="Z59" s="5" t="s">
        <v>110</v>
      </c>
      <c r="AB59" s="58"/>
    </row>
    <row r="60" spans="1:28">
      <c r="A60" s="2" t="s">
        <v>39</v>
      </c>
      <c r="B60" s="10" t="s">
        <v>40</v>
      </c>
      <c r="G60" s="242" t="s">
        <v>41</v>
      </c>
      <c r="H60" s="10" t="s">
        <v>42</v>
      </c>
      <c r="N60" s="40" t="s">
        <v>48</v>
      </c>
    </row>
    <row r="61" spans="1:28">
      <c r="A61" s="14"/>
      <c r="B61" s="11" t="s">
        <v>43</v>
      </c>
      <c r="D61" s="5" t="s">
        <v>44</v>
      </c>
      <c r="E61" s="5" t="s">
        <v>120</v>
      </c>
      <c r="G61" s="8"/>
      <c r="N61" s="94" t="s">
        <v>113</v>
      </c>
      <c r="O61" s="66">
        <f>SUMPRODUCT(C9:C13,C45:C49)+SUMPRODUCT(C18:C20,C54:C56)</f>
        <v>3755921.5360137504</v>
      </c>
      <c r="P61" s="66">
        <f t="shared" ref="P61:X61" si="12">SUMPRODUCT(D9:D13,D45:D49)+SUMPRODUCT(D18:D20,D54:D56)</f>
        <v>26631.229572623626</v>
      </c>
      <c r="Q61" s="66">
        <f t="shared" si="12"/>
        <v>43501.363785475332</v>
      </c>
      <c r="R61" s="66">
        <f t="shared" si="12"/>
        <v>80.440699999999993</v>
      </c>
      <c r="S61" s="66">
        <f t="shared" si="12"/>
        <v>3.3632</v>
      </c>
      <c r="T61" s="66">
        <f t="shared" si="12"/>
        <v>3409.2605991345122</v>
      </c>
      <c r="U61" s="66">
        <f t="shared" si="12"/>
        <v>26992.793099999995</v>
      </c>
      <c r="V61" s="66">
        <f t="shared" si="12"/>
        <v>60648.3027</v>
      </c>
      <c r="W61" s="66">
        <f t="shared" si="12"/>
        <v>2091160.8621037686</v>
      </c>
      <c r="X61" s="66">
        <f t="shared" si="12"/>
        <v>1699270.9478141484</v>
      </c>
      <c r="Y61" s="41">
        <f>SUM(O61:X61)</f>
        <v>7707620.0995889008</v>
      </c>
      <c r="Z61" s="236">
        <f>+Y61/(Y61+Y62)</f>
        <v>0.49868423791918298</v>
      </c>
    </row>
    <row r="62" spans="1:28">
      <c r="A62" s="14"/>
      <c r="C62" s="5" t="s">
        <v>45</v>
      </c>
      <c r="D62" s="5" t="s">
        <v>46</v>
      </c>
      <c r="E62" s="5" t="s">
        <v>50</v>
      </c>
      <c r="G62" s="5"/>
      <c r="H62" s="5" t="s">
        <v>45</v>
      </c>
      <c r="I62" s="5" t="s">
        <v>50</v>
      </c>
      <c r="N62" s="94" t="s">
        <v>114</v>
      </c>
      <c r="O62" s="41">
        <f>+O45-O61</f>
        <v>4048137.7215349581</v>
      </c>
      <c r="P62" s="41">
        <f t="shared" ref="P62:X62" si="13">+P45-P61</f>
        <v>30027.082709398965</v>
      </c>
      <c r="Q62" s="41">
        <f t="shared" si="13"/>
        <v>48753.849355403698</v>
      </c>
      <c r="R62" s="41">
        <f t="shared" si="13"/>
        <v>86.559300000000007</v>
      </c>
      <c r="S62" s="41">
        <f t="shared" si="13"/>
        <v>3.6368</v>
      </c>
      <c r="T62" s="41">
        <f t="shared" si="13"/>
        <v>3685.6087216380606</v>
      </c>
      <c r="U62" s="41">
        <f t="shared" si="13"/>
        <v>70546.206900000005</v>
      </c>
      <c r="V62" s="41">
        <f t="shared" si="13"/>
        <v>160040.6973</v>
      </c>
      <c r="W62" s="41">
        <f t="shared" si="13"/>
        <v>1802422.3811762193</v>
      </c>
      <c r="X62" s="41">
        <f t="shared" si="13"/>
        <v>1584588.9637834583</v>
      </c>
      <c r="Y62" s="41">
        <f t="shared" ref="Y62:Y69" si="14">SUM(O62:X62)</f>
        <v>7748292.7075810768</v>
      </c>
      <c r="Z62" s="48">
        <f>1-Z61</f>
        <v>0.50131576208081707</v>
      </c>
    </row>
    <row r="63" spans="1:28">
      <c r="A63" s="14"/>
      <c r="B63" s="31" t="s">
        <v>18</v>
      </c>
      <c r="C63" s="243">
        <f>Inputs!C73</f>
        <v>94.45</v>
      </c>
      <c r="D63" s="244">
        <f>Inputs!F74</f>
        <v>0.80137102413589023</v>
      </c>
      <c r="E63" s="71">
        <f>ROUND(+C63*D63,3)</f>
        <v>75.688999999999993</v>
      </c>
      <c r="H63" s="227">
        <f>Inputs!F81</f>
        <v>0.8243776305624626</v>
      </c>
      <c r="I63" s="227">
        <f>Inputs!G81</f>
        <v>0.87804642128526678</v>
      </c>
      <c r="J63" s="104" t="s">
        <v>121</v>
      </c>
      <c r="K63" s="514">
        <v>45964</v>
      </c>
      <c r="L63" s="104" t="s">
        <v>122</v>
      </c>
      <c r="Y63" s="41"/>
    </row>
    <row r="64" spans="1:28">
      <c r="A64" s="14"/>
      <c r="B64" s="31" t="s">
        <v>19</v>
      </c>
      <c r="C64" s="243">
        <f>Inputs!C74</f>
        <v>80.349999999999994</v>
      </c>
      <c r="D64" s="70">
        <f>+$D$63</f>
        <v>0.80137102413589023</v>
      </c>
      <c r="E64" s="71">
        <f>ROUND(+C64*D64,3)</f>
        <v>64.39</v>
      </c>
      <c r="H64" s="245">
        <f>+$H$63</f>
        <v>0.8243776305624626</v>
      </c>
      <c r="I64" s="245">
        <f>+$I$63</f>
        <v>0.87804642128526678</v>
      </c>
      <c r="J64" s="11"/>
      <c r="N64" s="40" t="s">
        <v>47</v>
      </c>
      <c r="Y64" s="41"/>
    </row>
    <row r="65" spans="1:26">
      <c r="A65" s="14"/>
      <c r="B65" s="31" t="s">
        <v>20</v>
      </c>
      <c r="C65" s="243">
        <f>Inputs!C75</f>
        <v>58.05</v>
      </c>
      <c r="D65" s="70">
        <f>+$D$63</f>
        <v>0.80137102413589023</v>
      </c>
      <c r="E65" s="71">
        <f t="shared" ref="E65:E74" si="15">ROUND(+C65*D65,3)</f>
        <v>46.52</v>
      </c>
      <c r="H65" s="245">
        <f>+$H$63</f>
        <v>0.8243776305624626</v>
      </c>
      <c r="I65" s="245">
        <f>+$I$63</f>
        <v>0.87804642128526678</v>
      </c>
      <c r="J65" s="105" t="s">
        <v>123</v>
      </c>
      <c r="N65" s="94" t="s">
        <v>113</v>
      </c>
      <c r="O65" s="66">
        <f>SUMPRODUCT(C14:C17,C50:C53)</f>
        <v>2871397.2355736457</v>
      </c>
      <c r="P65" s="66">
        <f t="shared" ref="P65:X65" si="16">SUMPRODUCT(D14:D17,D50:D53)</f>
        <v>8314.0411147518153</v>
      </c>
      <c r="Q65" s="66">
        <f t="shared" si="16"/>
        <v>37655.733432469307</v>
      </c>
      <c r="R65" s="66">
        <f t="shared" si="16"/>
        <v>33.759</v>
      </c>
      <c r="S65" s="66">
        <f t="shared" si="16"/>
        <v>0.5363</v>
      </c>
      <c r="T65" s="66">
        <f t="shared" si="16"/>
        <v>1225.849540374672</v>
      </c>
      <c r="U65" s="66">
        <f t="shared" si="16"/>
        <v>7878.3420999999998</v>
      </c>
      <c r="V65" s="66">
        <f t="shared" si="16"/>
        <v>16902.341099999998</v>
      </c>
      <c r="W65" s="66">
        <f t="shared" si="16"/>
        <v>1235382.517025003</v>
      </c>
      <c r="X65" s="66">
        <f t="shared" si="16"/>
        <v>969320.23475213768</v>
      </c>
      <c r="Y65" s="41">
        <f t="shared" si="14"/>
        <v>5148110.5899383817</v>
      </c>
      <c r="Z65" s="236">
        <f>+Y65/(Y65+Y66)</f>
        <v>0.5232693186885633</v>
      </c>
    </row>
    <row r="66" spans="1:26" ht="13.15" customHeight="1">
      <c r="A66" s="14"/>
      <c r="B66" s="31" t="s">
        <v>21</v>
      </c>
      <c r="C66" s="243">
        <f>Inputs!C76</f>
        <v>55.8</v>
      </c>
      <c r="D66" s="70">
        <f>+$D$63</f>
        <v>0.80137102413589023</v>
      </c>
      <c r="E66" s="71">
        <f t="shared" si="15"/>
        <v>44.716999999999999</v>
      </c>
      <c r="H66" s="245">
        <f>+$H$63</f>
        <v>0.8243776305624626</v>
      </c>
      <c r="I66" s="72">
        <f>+$I$63</f>
        <v>0.87804642128526678</v>
      </c>
      <c r="J66" s="246" t="s">
        <v>124</v>
      </c>
      <c r="K66" s="515" t="s">
        <v>424</v>
      </c>
      <c r="L66" s="516"/>
      <c r="M66" s="247"/>
      <c r="N66" s="94" t="s">
        <v>114</v>
      </c>
      <c r="O66" s="41">
        <f>+O49-O65</f>
        <v>2718445.4411387406</v>
      </c>
      <c r="P66" s="41">
        <f t="shared" ref="P66:X66" si="17">+P49-P65</f>
        <v>7568.1867357144856</v>
      </c>
      <c r="Q66" s="41">
        <f t="shared" si="17"/>
        <v>35512.633121604988</v>
      </c>
      <c r="R66" s="41">
        <f t="shared" si="17"/>
        <v>32.241</v>
      </c>
      <c r="S66" s="41">
        <f t="shared" si="17"/>
        <v>0.4637</v>
      </c>
      <c r="T66" s="41">
        <f t="shared" si="17"/>
        <v>917.73306383232239</v>
      </c>
      <c r="U66" s="41">
        <f t="shared" si="17"/>
        <v>29302.657899999998</v>
      </c>
      <c r="V66" s="41">
        <f t="shared" si="17"/>
        <v>63122.658900000002</v>
      </c>
      <c r="W66" s="41">
        <f t="shared" si="17"/>
        <v>971251.95473408722</v>
      </c>
      <c r="X66" s="41">
        <f t="shared" si="17"/>
        <v>864092.87077613804</v>
      </c>
      <c r="Y66" s="41">
        <f t="shared" si="14"/>
        <v>4690246.8410701184</v>
      </c>
      <c r="Z66" s="48">
        <f>1-Z65</f>
        <v>0.4767306813114367</v>
      </c>
    </row>
    <row r="67" spans="1:26" ht="13.15" customHeight="1">
      <c r="A67" s="14"/>
      <c r="B67" s="31" t="s">
        <v>22</v>
      </c>
      <c r="C67" s="243">
        <f>Inputs!C77</f>
        <v>56.4</v>
      </c>
      <c r="D67" s="70">
        <f>+$D$63</f>
        <v>0.80137102413589023</v>
      </c>
      <c r="E67" s="71">
        <f t="shared" si="15"/>
        <v>45.197000000000003</v>
      </c>
      <c r="H67" s="245">
        <f>+$H$63</f>
        <v>0.8243776305624626</v>
      </c>
      <c r="I67" s="72">
        <f>+$I$63</f>
        <v>0.87804642128526678</v>
      </c>
      <c r="J67" s="246" t="s">
        <v>125</v>
      </c>
      <c r="K67" s="494" t="s">
        <v>425</v>
      </c>
      <c r="L67" s="493"/>
      <c r="Y67" s="41"/>
    </row>
    <row r="68" spans="1:26">
      <c r="A68" s="14"/>
      <c r="B68" s="31" t="s">
        <v>23</v>
      </c>
      <c r="C68" s="243">
        <f>Inputs!C78</f>
        <v>64.25</v>
      </c>
      <c r="D68" s="248">
        <f>Inputs!F73</f>
        <v>0.56210462847683385</v>
      </c>
      <c r="E68" s="71">
        <f t="shared" si="15"/>
        <v>36.115000000000002</v>
      </c>
      <c r="H68" s="249">
        <f>Inputs!F80</f>
        <v>0.7989392705123165</v>
      </c>
      <c r="I68" s="249">
        <f>Inputs!G80</f>
        <v>0.85640522538039299</v>
      </c>
      <c r="N68" s="94" t="s">
        <v>126</v>
      </c>
      <c r="O68" s="41">
        <f>+O61+O65</f>
        <v>6627318.771587396</v>
      </c>
      <c r="P68" s="41">
        <f t="shared" ref="P68:X69" si="18">+P61+P65</f>
        <v>34945.270687375443</v>
      </c>
      <c r="Q68" s="41">
        <f t="shared" si="18"/>
        <v>81157.09721794464</v>
      </c>
      <c r="R68" s="41">
        <f t="shared" si="18"/>
        <v>114.19969999999999</v>
      </c>
      <c r="S68" s="41">
        <f t="shared" si="18"/>
        <v>3.8994999999999997</v>
      </c>
      <c r="T68" s="41">
        <f t="shared" si="18"/>
        <v>4635.1101395091846</v>
      </c>
      <c r="U68" s="41">
        <f t="shared" si="18"/>
        <v>34871.135199999997</v>
      </c>
      <c r="V68" s="41">
        <f t="shared" si="18"/>
        <v>77550.643799999991</v>
      </c>
      <c r="W68" s="41">
        <f t="shared" si="18"/>
        <v>3326543.3791287718</v>
      </c>
      <c r="X68" s="41">
        <f t="shared" si="18"/>
        <v>2668591.1825662861</v>
      </c>
      <c r="Y68" s="41">
        <f t="shared" si="14"/>
        <v>12855730.689527281</v>
      </c>
      <c r="Z68" s="236">
        <f>+Y68/(Y68+Y69)</f>
        <v>0.50824675187201862</v>
      </c>
    </row>
    <row r="69" spans="1:26">
      <c r="A69" s="14"/>
      <c r="B69" s="31" t="s">
        <v>24</v>
      </c>
      <c r="C69" s="243">
        <f>Inputs!C79</f>
        <v>93.55</v>
      </c>
      <c r="D69" s="250">
        <f>+$D$68</f>
        <v>0.56210462847683385</v>
      </c>
      <c r="E69" s="71">
        <f t="shared" si="15"/>
        <v>52.585000000000001</v>
      </c>
      <c r="H69" s="251">
        <f>+$H$68</f>
        <v>0.7989392705123165</v>
      </c>
      <c r="I69" s="251">
        <f>+$I$68</f>
        <v>0.85640522538039299</v>
      </c>
      <c r="N69" s="94" t="s">
        <v>127</v>
      </c>
      <c r="O69" s="41">
        <f>+O62+O66</f>
        <v>6766583.1626736987</v>
      </c>
      <c r="P69" s="41">
        <f t="shared" si="18"/>
        <v>37595.269445113452</v>
      </c>
      <c r="Q69" s="41">
        <f t="shared" si="18"/>
        <v>84266.482477008685</v>
      </c>
      <c r="R69" s="41">
        <f t="shared" si="18"/>
        <v>118.80030000000001</v>
      </c>
      <c r="S69" s="41">
        <f t="shared" si="18"/>
        <v>4.1005000000000003</v>
      </c>
      <c r="T69" s="41">
        <f t="shared" si="18"/>
        <v>4603.341785470383</v>
      </c>
      <c r="U69" s="41">
        <f t="shared" si="18"/>
        <v>99848.86480000001</v>
      </c>
      <c r="V69" s="41">
        <f t="shared" si="18"/>
        <v>223163.35620000001</v>
      </c>
      <c r="W69" s="41">
        <f t="shared" si="18"/>
        <v>2773674.3359103063</v>
      </c>
      <c r="X69" s="41">
        <f t="shared" si="18"/>
        <v>2448681.8345595961</v>
      </c>
      <c r="Y69" s="41">
        <f t="shared" si="14"/>
        <v>12438539.548651192</v>
      </c>
      <c r="Z69" s="48">
        <f>1-Z68</f>
        <v>0.49175324812798138</v>
      </c>
    </row>
    <row r="70" spans="1:26">
      <c r="A70" s="14"/>
      <c r="B70" s="31" t="s">
        <v>25</v>
      </c>
      <c r="C70" s="243">
        <f>Inputs!C80</f>
        <v>80.150000000000006</v>
      </c>
      <c r="D70" s="250">
        <f>+$D$68</f>
        <v>0.56210462847683385</v>
      </c>
      <c r="E70" s="71">
        <f t="shared" si="15"/>
        <v>45.052999999999997</v>
      </c>
      <c r="H70" s="251">
        <f>+$H$68</f>
        <v>0.7989392705123165</v>
      </c>
      <c r="I70" s="251">
        <f>+$I$68</f>
        <v>0.85640522538039299</v>
      </c>
    </row>
    <row r="71" spans="1:26">
      <c r="A71" s="14"/>
      <c r="B71" s="31" t="s">
        <v>26</v>
      </c>
      <c r="C71" s="243">
        <f>Inputs!C81</f>
        <v>62.4</v>
      </c>
      <c r="D71" s="252">
        <f>+$D$68</f>
        <v>0.56210462847683385</v>
      </c>
      <c r="E71" s="71">
        <f t="shared" si="15"/>
        <v>35.075000000000003</v>
      </c>
      <c r="H71" s="253">
        <f>+$H$68</f>
        <v>0.7989392705123165</v>
      </c>
      <c r="I71" s="253">
        <f>+$I$68</f>
        <v>0.85640522538039299</v>
      </c>
    </row>
    <row r="72" spans="1:26">
      <c r="A72" s="14"/>
      <c r="B72" s="31" t="s">
        <v>27</v>
      </c>
      <c r="C72" s="243">
        <f>Inputs!C82</f>
        <v>60.85</v>
      </c>
      <c r="D72" s="74">
        <f>+$D$63</f>
        <v>0.80137102413589023</v>
      </c>
      <c r="E72" s="71">
        <f t="shared" si="15"/>
        <v>48.762999999999998</v>
      </c>
      <c r="H72" s="245">
        <f>+$H$63</f>
        <v>0.8243776305624626</v>
      </c>
      <c r="I72" s="245">
        <f>+$I$63</f>
        <v>0.87804642128526678</v>
      </c>
    </row>
    <row r="73" spans="1:26">
      <c r="A73" s="14"/>
      <c r="B73" s="31" t="s">
        <v>28</v>
      </c>
      <c r="C73" s="243">
        <f>Inputs!C83</f>
        <v>59.5</v>
      </c>
      <c r="D73" s="70">
        <f>+$D$63</f>
        <v>0.80137102413589023</v>
      </c>
      <c r="E73" s="71">
        <f t="shared" si="15"/>
        <v>47.682000000000002</v>
      </c>
      <c r="H73" s="245">
        <f>+$H$63</f>
        <v>0.8243776305624626</v>
      </c>
      <c r="I73" s="245">
        <f>+$I$63</f>
        <v>0.87804642128526678</v>
      </c>
    </row>
    <row r="74" spans="1:26">
      <c r="A74" s="14"/>
      <c r="B74" s="31" t="s">
        <v>29</v>
      </c>
      <c r="C74" s="243">
        <f>Inputs!C84</f>
        <v>67.900000000000006</v>
      </c>
      <c r="D74" s="70">
        <f>+$D$63</f>
        <v>0.80137102413589023</v>
      </c>
      <c r="E74" s="71">
        <f t="shared" si="15"/>
        <v>54.412999999999997</v>
      </c>
      <c r="H74" s="245">
        <f>+$H$63</f>
        <v>0.8243776305624626</v>
      </c>
      <c r="I74" s="245">
        <f>+$I$63</f>
        <v>0.87804642128526678</v>
      </c>
    </row>
    <row r="75" spans="1:26">
      <c r="A75" s="14"/>
      <c r="B75" s="31"/>
      <c r="C75" s="76"/>
      <c r="D75" s="76"/>
      <c r="G75" s="227"/>
      <c r="K75" s="227"/>
    </row>
    <row r="76" spans="1:26">
      <c r="A76" s="14"/>
      <c r="B76" s="77"/>
      <c r="C76" s="77"/>
      <c r="D76" s="76"/>
      <c r="G76" s="227"/>
      <c r="K76" s="227"/>
    </row>
    <row r="77" spans="1:26">
      <c r="A77" s="2" t="s">
        <v>51</v>
      </c>
      <c r="B77" s="38" t="s">
        <v>128</v>
      </c>
      <c r="C77" s="5" t="str">
        <f>+C7</f>
        <v>RS</v>
      </c>
      <c r="D77" s="5" t="str">
        <f t="shared" ref="D77:L77" si="19">+D7</f>
        <v>RHS</v>
      </c>
      <c r="E77" s="5" t="str">
        <f t="shared" si="19"/>
        <v>RLM</v>
      </c>
      <c r="F77" s="5" t="str">
        <f t="shared" si="19"/>
        <v>WH</v>
      </c>
      <c r="G77" s="5" t="str">
        <f t="shared" si="19"/>
        <v>WHS</v>
      </c>
      <c r="H77" s="5" t="str">
        <f t="shared" si="19"/>
        <v>HS</v>
      </c>
      <c r="I77" s="5" t="str">
        <f t="shared" si="19"/>
        <v>PSAL</v>
      </c>
      <c r="J77" s="5" t="str">
        <f t="shared" si="19"/>
        <v>BPL</v>
      </c>
      <c r="K77" s="5" t="str">
        <f t="shared" si="19"/>
        <v>GLP</v>
      </c>
      <c r="L77" s="5" t="str">
        <f t="shared" si="19"/>
        <v>LPL-S</v>
      </c>
      <c r="M77" s="5"/>
      <c r="P77" s="254" t="s">
        <v>52</v>
      </c>
      <c r="Q77" s="254" t="s">
        <v>53</v>
      </c>
      <c r="R77" s="254" t="s">
        <v>54</v>
      </c>
    </row>
    <row r="78" spans="1:26">
      <c r="A78" s="14"/>
      <c r="B78" s="230" t="s">
        <v>129</v>
      </c>
      <c r="C78" s="255"/>
      <c r="D78" s="40"/>
      <c r="E78" s="40"/>
      <c r="F78" s="40"/>
      <c r="P78" s="1" t="s">
        <v>55</v>
      </c>
      <c r="Q78" s="256">
        <f>Inputs!C89</f>
        <v>5.8326999999999997E-2</v>
      </c>
      <c r="R78" s="8" t="s">
        <v>130</v>
      </c>
    </row>
    <row r="79" spans="1:26">
      <c r="A79" s="14"/>
      <c r="B79" s="31" t="s">
        <v>131</v>
      </c>
      <c r="C79" s="80">
        <f>1-((1-$Q$78)*(1-$Q$79))</f>
        <v>6.2621028879999985E-2</v>
      </c>
      <c r="D79" s="80">
        <f>+$C79</f>
        <v>6.2621028879999985E-2</v>
      </c>
      <c r="E79" s="80">
        <f t="shared" ref="E79:L79" si="20">+$C79</f>
        <v>6.2621028879999985E-2</v>
      </c>
      <c r="F79" s="80">
        <f t="shared" si="20"/>
        <v>6.2621028879999985E-2</v>
      </c>
      <c r="G79" s="80">
        <f t="shared" si="20"/>
        <v>6.2621028879999985E-2</v>
      </c>
      <c r="H79" s="80">
        <f t="shared" si="20"/>
        <v>6.2621028879999985E-2</v>
      </c>
      <c r="I79" s="80">
        <f t="shared" si="20"/>
        <v>6.2621028879999985E-2</v>
      </c>
      <c r="J79" s="80">
        <f t="shared" si="20"/>
        <v>6.2621028879999985E-2</v>
      </c>
      <c r="K79" s="80">
        <f t="shared" si="20"/>
        <v>6.2621028879999985E-2</v>
      </c>
      <c r="L79" s="80">
        <f t="shared" si="20"/>
        <v>6.2621028879999985E-2</v>
      </c>
      <c r="M79" s="77"/>
      <c r="N79" s="109"/>
      <c r="P79" s="1" t="s">
        <v>56</v>
      </c>
      <c r="Q79" s="256">
        <f>Inputs!C90</f>
        <v>4.5599999999999998E-3</v>
      </c>
      <c r="R79" s="1" t="s">
        <v>132</v>
      </c>
    </row>
    <row r="80" spans="1:26">
      <c r="A80" s="14"/>
      <c r="B80" s="1" t="s">
        <v>133</v>
      </c>
      <c r="C80" s="81">
        <f>ROUND(1/(1-C79),6)</f>
        <v>1.0668040000000001</v>
      </c>
      <c r="D80" s="81">
        <f t="shared" ref="D80:L80" si="21">ROUND(1/(1-D79),6)</f>
        <v>1.0668040000000001</v>
      </c>
      <c r="E80" s="81">
        <f t="shared" si="21"/>
        <v>1.0668040000000001</v>
      </c>
      <c r="F80" s="81">
        <f t="shared" si="21"/>
        <v>1.0668040000000001</v>
      </c>
      <c r="G80" s="81">
        <f t="shared" si="21"/>
        <v>1.0668040000000001</v>
      </c>
      <c r="H80" s="81">
        <f t="shared" si="21"/>
        <v>1.0668040000000001</v>
      </c>
      <c r="I80" s="81">
        <f t="shared" si="21"/>
        <v>1.0668040000000001</v>
      </c>
      <c r="J80" s="81">
        <f t="shared" si="21"/>
        <v>1.0668040000000001</v>
      </c>
      <c r="K80" s="81">
        <f t="shared" si="21"/>
        <v>1.0668040000000001</v>
      </c>
      <c r="L80" s="81">
        <f t="shared" si="21"/>
        <v>1.0668040000000001</v>
      </c>
      <c r="M80" s="78"/>
      <c r="P80" s="1" t="s">
        <v>58</v>
      </c>
      <c r="Q80" s="256">
        <f>+Inputs!C91</f>
        <v>1.3768262128193421E-2</v>
      </c>
      <c r="R80" s="1" t="s">
        <v>134</v>
      </c>
    </row>
    <row r="81" spans="1:17">
      <c r="A81" s="14"/>
      <c r="B81" s="1" t="s">
        <v>135</v>
      </c>
      <c r="C81" s="81">
        <f>1/C80</f>
        <v>0.93737931241352668</v>
      </c>
      <c r="D81" s="81">
        <f t="shared" ref="D81:L81" si="22">1/D80</f>
        <v>0.93737931241352668</v>
      </c>
      <c r="E81" s="81">
        <f t="shared" si="22"/>
        <v>0.93737931241352668</v>
      </c>
      <c r="F81" s="81">
        <f t="shared" si="22"/>
        <v>0.93737931241352668</v>
      </c>
      <c r="G81" s="81">
        <f t="shared" si="22"/>
        <v>0.93737931241352668</v>
      </c>
      <c r="H81" s="81">
        <f t="shared" si="22"/>
        <v>0.93737931241352668</v>
      </c>
      <c r="I81" s="81">
        <f t="shared" si="22"/>
        <v>0.93737931241352668</v>
      </c>
      <c r="J81" s="81">
        <f t="shared" si="22"/>
        <v>0.93737931241352668</v>
      </c>
      <c r="K81" s="81">
        <f t="shared" si="22"/>
        <v>0.93737931241352668</v>
      </c>
      <c r="L81" s="81">
        <f t="shared" si="22"/>
        <v>0.93737931241352668</v>
      </c>
      <c r="M81" s="78"/>
      <c r="P81" s="1" t="s">
        <v>136</v>
      </c>
      <c r="Q81" s="257">
        <f>ROUND(1-((1-Q80)/(1-Q79)),7)</f>
        <v>9.2504000000000006E-3</v>
      </c>
    </row>
    <row r="82" spans="1:17">
      <c r="A82" s="14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</row>
    <row r="83" spans="1:17">
      <c r="A83" s="14"/>
      <c r="B83" s="230" t="s">
        <v>137</v>
      </c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</row>
    <row r="84" spans="1:17">
      <c r="A84" s="14"/>
      <c r="B84" s="31" t="s">
        <v>131</v>
      </c>
      <c r="C84" s="80">
        <f>1-((1-$Q$78)/((1-$Q$80)/(1-$Q$79)))</f>
        <v>4.9534774511745261E-2</v>
      </c>
      <c r="D84" s="80">
        <f>+$C84</f>
        <v>4.9534774511745261E-2</v>
      </c>
      <c r="E84" s="80">
        <f t="shared" ref="E84:L84" si="23">+$C84</f>
        <v>4.9534774511745261E-2</v>
      </c>
      <c r="F84" s="80">
        <f t="shared" si="23"/>
        <v>4.9534774511745261E-2</v>
      </c>
      <c r="G84" s="80">
        <f t="shared" si="23"/>
        <v>4.9534774511745261E-2</v>
      </c>
      <c r="H84" s="80">
        <f t="shared" si="23"/>
        <v>4.9534774511745261E-2</v>
      </c>
      <c r="I84" s="80">
        <f t="shared" si="23"/>
        <v>4.9534774511745261E-2</v>
      </c>
      <c r="J84" s="80">
        <f t="shared" si="23"/>
        <v>4.9534774511745261E-2</v>
      </c>
      <c r="K84" s="80">
        <f t="shared" si="23"/>
        <v>4.9534774511745261E-2</v>
      </c>
      <c r="L84" s="80">
        <f t="shared" si="23"/>
        <v>4.9534774511745261E-2</v>
      </c>
      <c r="M84" s="78"/>
      <c r="P84" s="8" t="s">
        <v>138</v>
      </c>
    </row>
    <row r="85" spans="1:17">
      <c r="A85" s="14"/>
      <c r="B85" s="1" t="s">
        <v>133</v>
      </c>
      <c r="C85" s="81">
        <f>ROUND(1/(1-C84),6)</f>
        <v>1.0521160000000001</v>
      </c>
      <c r="D85" s="81">
        <f>+$C$85</f>
        <v>1.0521160000000001</v>
      </c>
      <c r="E85" s="81">
        <f t="shared" ref="E85:L85" si="24">+$C$85</f>
        <v>1.0521160000000001</v>
      </c>
      <c r="F85" s="81">
        <f t="shared" si="24"/>
        <v>1.0521160000000001</v>
      </c>
      <c r="G85" s="81">
        <f t="shared" si="24"/>
        <v>1.0521160000000001</v>
      </c>
      <c r="H85" s="81">
        <f t="shared" si="24"/>
        <v>1.0521160000000001</v>
      </c>
      <c r="I85" s="81">
        <f t="shared" si="24"/>
        <v>1.0521160000000001</v>
      </c>
      <c r="J85" s="81">
        <f t="shared" si="24"/>
        <v>1.0521160000000001</v>
      </c>
      <c r="K85" s="81">
        <f t="shared" si="24"/>
        <v>1.0521160000000001</v>
      </c>
      <c r="L85" s="81">
        <f t="shared" si="24"/>
        <v>1.0521160000000001</v>
      </c>
      <c r="M85" s="78"/>
      <c r="Q85" s="8" t="s">
        <v>139</v>
      </c>
    </row>
    <row r="86" spans="1:17">
      <c r="A86" s="14"/>
      <c r="B86" s="1" t="s">
        <v>135</v>
      </c>
      <c r="C86" s="81">
        <f>1/C85</f>
        <v>0.95046553802052236</v>
      </c>
      <c r="D86" s="81">
        <f t="shared" ref="D86:L86" si="25">1/D85</f>
        <v>0.95046553802052236</v>
      </c>
      <c r="E86" s="81">
        <f t="shared" si="25"/>
        <v>0.95046553802052236</v>
      </c>
      <c r="F86" s="81">
        <f t="shared" si="25"/>
        <v>0.95046553802052236</v>
      </c>
      <c r="G86" s="81">
        <f t="shared" si="25"/>
        <v>0.95046553802052236</v>
      </c>
      <c r="H86" s="81">
        <f t="shared" si="25"/>
        <v>0.95046553802052236</v>
      </c>
      <c r="I86" s="81">
        <f t="shared" si="25"/>
        <v>0.95046553802052236</v>
      </c>
      <c r="J86" s="81">
        <f t="shared" si="25"/>
        <v>0.95046553802052236</v>
      </c>
      <c r="K86" s="81">
        <f t="shared" si="25"/>
        <v>0.95046553802052236</v>
      </c>
      <c r="L86" s="81">
        <f t="shared" si="25"/>
        <v>0.95046553802052236</v>
      </c>
      <c r="M86" s="78"/>
      <c r="P86" s="8" t="s">
        <v>140</v>
      </c>
      <c r="Q86" s="8" t="s">
        <v>141</v>
      </c>
    </row>
    <row r="87" spans="1:17">
      <c r="A87" s="14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78"/>
      <c r="P87" s="8"/>
      <c r="Q87" s="8"/>
    </row>
    <row r="88" spans="1:17">
      <c r="A88" s="14"/>
      <c r="B88" s="215" t="s">
        <v>52</v>
      </c>
      <c r="C88" s="258" t="s">
        <v>53</v>
      </c>
      <c r="D88" s="258" t="s">
        <v>54</v>
      </c>
      <c r="E88" s="81"/>
      <c r="F88" s="81"/>
      <c r="G88" s="81"/>
      <c r="H88" s="81"/>
      <c r="I88" s="81"/>
      <c r="J88" s="81"/>
      <c r="K88" s="81"/>
      <c r="L88" s="81"/>
      <c r="M88" s="78"/>
      <c r="P88" s="8" t="s">
        <v>142</v>
      </c>
    </row>
    <row r="89" spans="1:17">
      <c r="A89" s="14"/>
      <c r="B89" s="1" t="s">
        <v>55</v>
      </c>
      <c r="C89" s="259">
        <f>Inputs!C89</f>
        <v>5.8326999999999997E-2</v>
      </c>
      <c r="D89" s="81" t="s">
        <v>130</v>
      </c>
      <c r="E89" s="81"/>
      <c r="F89" s="81"/>
      <c r="G89" s="81"/>
      <c r="H89" s="81"/>
      <c r="I89" s="81"/>
      <c r="J89" s="81"/>
      <c r="K89" s="81"/>
      <c r="L89" s="81"/>
      <c r="M89" s="78"/>
      <c r="Q89" s="8" t="s">
        <v>143</v>
      </c>
    </row>
    <row r="90" spans="1:17">
      <c r="A90" s="14"/>
      <c r="B90" s="1" t="s">
        <v>56</v>
      </c>
      <c r="C90" s="259">
        <f>Inputs!C90</f>
        <v>4.5599999999999998E-3</v>
      </c>
      <c r="D90" s="81" t="s">
        <v>132</v>
      </c>
      <c r="E90" s="81"/>
      <c r="F90" s="81"/>
      <c r="G90" s="81"/>
      <c r="H90" s="81"/>
      <c r="I90" s="81"/>
      <c r="J90" s="81"/>
      <c r="K90" s="81"/>
      <c r="L90" s="81"/>
      <c r="M90" s="78"/>
      <c r="Q90" s="8" t="s">
        <v>144</v>
      </c>
    </row>
    <row r="91" spans="1:17">
      <c r="A91" s="14"/>
      <c r="B91" s="1" t="s">
        <v>58</v>
      </c>
      <c r="C91" s="259">
        <f>+Inputs!C91</f>
        <v>1.3768262128193421E-2</v>
      </c>
      <c r="D91" s="81" t="s">
        <v>134</v>
      </c>
      <c r="E91" s="81"/>
      <c r="F91" s="81"/>
      <c r="G91" s="81"/>
      <c r="H91" s="81"/>
      <c r="I91" s="81"/>
      <c r="J91" s="81"/>
      <c r="K91" s="81"/>
      <c r="L91" s="81"/>
      <c r="M91" s="78"/>
      <c r="P91" s="8"/>
      <c r="Q91" s="8"/>
    </row>
    <row r="92" spans="1:17">
      <c r="A92" s="14"/>
      <c r="B92" s="1" t="s">
        <v>136</v>
      </c>
      <c r="C92" s="459">
        <f>ROUND(1-((1-C91)/(1-C90)),7)</f>
        <v>9.2504000000000006E-3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</row>
    <row r="93" spans="1:17">
      <c r="A93" s="14"/>
      <c r="C93" s="83"/>
      <c r="D93" s="78"/>
      <c r="E93" s="78"/>
      <c r="F93" s="78"/>
      <c r="G93" s="78"/>
      <c r="H93" s="78"/>
      <c r="I93" s="78"/>
      <c r="J93" s="78"/>
      <c r="K93" s="78"/>
      <c r="L93" s="78"/>
      <c r="M93" s="78"/>
    </row>
    <row r="94" spans="1:17">
      <c r="A94" s="14"/>
    </row>
    <row r="95" spans="1:17">
      <c r="A95" s="2" t="s">
        <v>145</v>
      </c>
      <c r="B95" s="10" t="s">
        <v>146</v>
      </c>
    </row>
    <row r="96" spans="1:17">
      <c r="B96" s="11" t="s">
        <v>147</v>
      </c>
    </row>
    <row r="97" spans="1:13">
      <c r="A97" s="14"/>
      <c r="B97" s="11" t="s">
        <v>148</v>
      </c>
    </row>
    <row r="98" spans="1:13">
      <c r="A98" s="14"/>
      <c r="B98" s="10"/>
      <c r="C98" s="5" t="str">
        <f>+C7</f>
        <v>RS</v>
      </c>
      <c r="D98" s="5" t="str">
        <f t="shared" ref="D98:L98" si="26">+D7</f>
        <v>RHS</v>
      </c>
      <c r="E98" s="5" t="str">
        <f t="shared" si="26"/>
        <v>RLM</v>
      </c>
      <c r="F98" s="5" t="str">
        <f t="shared" si="26"/>
        <v>WH</v>
      </c>
      <c r="G98" s="5" t="str">
        <f t="shared" si="26"/>
        <v>WHS</v>
      </c>
      <c r="H98" s="5" t="str">
        <f t="shared" si="26"/>
        <v>HS</v>
      </c>
      <c r="I98" s="5" t="str">
        <f t="shared" si="26"/>
        <v>PSAL</v>
      </c>
      <c r="J98" s="5" t="str">
        <f t="shared" si="26"/>
        <v>BPL</v>
      </c>
      <c r="K98" s="5" t="str">
        <f t="shared" si="26"/>
        <v>GLP</v>
      </c>
      <c r="L98" s="5" t="str">
        <f t="shared" si="26"/>
        <v>LPL-S</v>
      </c>
      <c r="M98" s="5"/>
    </row>
    <row r="99" spans="1:13">
      <c r="A99" s="14"/>
    </row>
    <row r="100" spans="1:13">
      <c r="A100" s="14"/>
      <c r="B100" s="31" t="s">
        <v>149</v>
      </c>
      <c r="C100" s="260">
        <f t="shared" ref="C100:L100" si="27">(SUMPRODUCT(C14:C17,C50:C53,$C68:$C71,$H68:$H71)*C80+SUMPRODUCT(O14:O17,C50:C53,$E68:$E71,$I68:$I71)*C80)/SUM(C50:C53)</f>
        <v>52.921016613804689</v>
      </c>
      <c r="D100" s="260">
        <f t="shared" si="27"/>
        <v>53.246751795761817</v>
      </c>
      <c r="E100" s="260">
        <f t="shared" si="27"/>
        <v>52.696339098394418</v>
      </c>
      <c r="F100" s="260">
        <f>(SUMPRODUCT(F14:F17,F50:F53,$C68:$C71,$H68:$H71)*F80+SUMPRODUCT(R14:R17,F50:F53,$E68:$E71,$I68:$I71)*F80)/SUM(F50:F53)</f>
        <v>50.647617538461077</v>
      </c>
      <c r="G100" s="260">
        <f t="shared" si="27"/>
        <v>44.668237865950232</v>
      </c>
      <c r="H100" s="260">
        <f t="shared" si="27"/>
        <v>52.636092821216515</v>
      </c>
      <c r="I100" s="260">
        <f t="shared" si="27"/>
        <v>43.539843578413731</v>
      </c>
      <c r="J100" s="260">
        <f t="shared" si="27"/>
        <v>43.480769601077597</v>
      </c>
      <c r="K100" s="260">
        <f t="shared" si="27"/>
        <v>53.258086469337293</v>
      </c>
      <c r="L100" s="260">
        <f t="shared" si="27"/>
        <v>52.437417392330289</v>
      </c>
      <c r="M100" s="260"/>
    </row>
    <row r="101" spans="1:13">
      <c r="A101" s="14"/>
      <c r="B101" s="261" t="s">
        <v>150</v>
      </c>
      <c r="C101" s="260">
        <f t="shared" ref="C101:L101" si="28">(SUMPRODUCT(C14:C17,C50:C53,$C68:$C71,$H68:$H71)*C80)/SUMPRODUCT(C14:C17,C50:C53)</f>
        <v>65.533202924549798</v>
      </c>
      <c r="D101" s="260">
        <f t="shared" si="28"/>
        <v>65.58626165453687</v>
      </c>
      <c r="E101" s="260">
        <f t="shared" si="28"/>
        <v>65.231278777664926</v>
      </c>
      <c r="F101" s="260">
        <f t="shared" si="28"/>
        <v>62.831652805865438</v>
      </c>
      <c r="G101" s="260">
        <f t="shared" si="28"/>
        <v>54.761020912920678</v>
      </c>
      <c r="H101" s="260">
        <f t="shared" si="28"/>
        <v>63.388050962436573</v>
      </c>
      <c r="I101" s="260">
        <f t="shared" si="28"/>
        <v>62.887684420311061</v>
      </c>
      <c r="J101" s="260">
        <f t="shared" si="28"/>
        <v>62.820715656156111</v>
      </c>
      <c r="K101" s="260">
        <f t="shared" si="28"/>
        <v>64.407142924276883</v>
      </c>
      <c r="L101" s="260">
        <f t="shared" si="28"/>
        <v>64.359981937249145</v>
      </c>
      <c r="M101" s="260"/>
    </row>
    <row r="102" spans="1:13">
      <c r="A102" s="14"/>
      <c r="B102" s="261" t="s">
        <v>151</v>
      </c>
      <c r="C102" s="260">
        <f t="shared" ref="C102:L102" si="29">(SUMPRODUCT(O14:O17,C50:C53,$E68:$E71,$I68:$I71)*C80)/SUMPRODUCT(O14:O17,C50:C53)</f>
        <v>39.599212777254934</v>
      </c>
      <c r="D102" s="260">
        <f t="shared" si="29"/>
        <v>39.691167626886816</v>
      </c>
      <c r="E102" s="260">
        <f t="shared" si="29"/>
        <v>39.404946552581407</v>
      </c>
      <c r="F102" s="260">
        <f t="shared" si="29"/>
        <v>37.889922473410245</v>
      </c>
      <c r="G102" s="260">
        <f t="shared" si="29"/>
        <v>32.995260621847898</v>
      </c>
      <c r="H102" s="260">
        <f t="shared" si="29"/>
        <v>38.274310005521357</v>
      </c>
      <c r="I102" s="260">
        <f t="shared" si="29"/>
        <v>38.337963613497003</v>
      </c>
      <c r="J102" s="260">
        <f t="shared" si="29"/>
        <v>38.302116312780569</v>
      </c>
      <c r="K102" s="260">
        <f t="shared" si="29"/>
        <v>39.07706026020287</v>
      </c>
      <c r="L102" s="260">
        <f t="shared" si="29"/>
        <v>39.062948681405928</v>
      </c>
      <c r="M102" s="260"/>
    </row>
    <row r="103" spans="1:13">
      <c r="A103" s="14"/>
      <c r="C103" s="262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</row>
    <row r="104" spans="1:13">
      <c r="A104" s="14"/>
      <c r="B104" s="31" t="s">
        <v>152</v>
      </c>
      <c r="C104" s="260">
        <f t="shared" ref="C104:L104" si="30">(SUMPRODUCT(C9:C13,C45:C49,$C63:$C67,$H63:$H67)*C80+SUMPRODUCT(O9:O13,C45:C49,$E63:$E67,$I63:$I67)*C80+SUMPRODUCT(C18:C20,C54:C56,$C72:$C74,$H72:$H74)*C80+SUMPRODUCT(O18:O20,C54:C56,$E72:$E74,$I72:$I74)*C80)/SUM(C45:C49,C54:C56)</f>
        <v>55.39716512066245</v>
      </c>
      <c r="D104" s="260">
        <f t="shared" si="30"/>
        <v>57.827682201725594</v>
      </c>
      <c r="E104" s="260">
        <f t="shared" si="30"/>
        <v>55.150744037108396</v>
      </c>
      <c r="F104" s="260">
        <f t="shared" si="30"/>
        <v>54.58638207098268</v>
      </c>
      <c r="G104" s="260">
        <f t="shared" si="30"/>
        <v>54.836873522479088</v>
      </c>
      <c r="H104" s="260">
        <f t="shared" si="30"/>
        <v>57.841505946088802</v>
      </c>
      <c r="I104" s="260">
        <f t="shared" si="30"/>
        <v>53.682876574833863</v>
      </c>
      <c r="J104" s="260">
        <f t="shared" si="30"/>
        <v>53.392438555612159</v>
      </c>
      <c r="K104" s="260">
        <f t="shared" si="30"/>
        <v>55.078771985516298</v>
      </c>
      <c r="L104" s="260">
        <f t="shared" si="30"/>
        <v>54.726673732695453</v>
      </c>
      <c r="M104" s="260"/>
    </row>
    <row r="105" spans="1:13">
      <c r="A105" s="14"/>
      <c r="B105" s="261" t="s">
        <v>150</v>
      </c>
      <c r="C105" s="260">
        <f t="shared" ref="C105:L105" si="31">(SUMPRODUCT(C9:C13,C45:C49,$C63:$C67,$H63:$H67)*C80+SUMPRODUCT(C18:C20,C54:C56,$C72:$C74,$H72:$H74)*C80)/(SUMPRODUCT(C9:C13,C45:C49)+SUMPRODUCT(C18:C20,C54:C56))</f>
        <v>59.891786258027636</v>
      </c>
      <c r="D105" s="260">
        <f t="shared" si="31"/>
        <v>62.48769079043312</v>
      </c>
      <c r="E105" s="260">
        <f t="shared" si="31"/>
        <v>59.787967452596661</v>
      </c>
      <c r="F105" s="260">
        <f t="shared" si="31"/>
        <v>59.009922982678219</v>
      </c>
      <c r="G105" s="260">
        <f t="shared" si="31"/>
        <v>59.311333178309042</v>
      </c>
      <c r="H105" s="260">
        <f t="shared" si="31"/>
        <v>62.247096444846612</v>
      </c>
      <c r="I105" s="260">
        <f t="shared" si="31"/>
        <v>60.877707915830769</v>
      </c>
      <c r="J105" s="260">
        <f t="shared" si="31"/>
        <v>60.613858966125228</v>
      </c>
      <c r="K105" s="260">
        <f t="shared" si="31"/>
        <v>58.923748548308438</v>
      </c>
      <c r="L105" s="260">
        <f t="shared" si="31"/>
        <v>58.766898144778828</v>
      </c>
      <c r="M105" s="260"/>
    </row>
    <row r="106" spans="1:13">
      <c r="A106" s="14"/>
      <c r="B106" s="261" t="s">
        <v>151</v>
      </c>
      <c r="C106" s="260">
        <f t="shared" ref="C106:L106" si="32">(SUMPRODUCT(O9:O13,C45:C49,$E63:$E67,$I63:$I67)*C80+SUMPRODUCT(O18:O20,C54:C56,$E72:$E74,$I72:$I74)*C80)/(SUMPRODUCT(O9:O13,C45:C49)+SUMPRODUCT(O18:O20,C54:C56))</f>
        <v>51.226989724640724</v>
      </c>
      <c r="D106" s="260">
        <f t="shared" si="32"/>
        <v>53.694688006541156</v>
      </c>
      <c r="E106" s="260">
        <f t="shared" si="32"/>
        <v>51.013110898006907</v>
      </c>
      <c r="F106" s="260">
        <f t="shared" si="32"/>
        <v>50.475527114722318</v>
      </c>
      <c r="G106" s="260">
        <f t="shared" si="32"/>
        <v>50.699031816999749</v>
      </c>
      <c r="H106" s="260">
        <f t="shared" si="32"/>
        <v>53.76624803410381</v>
      </c>
      <c r="I106" s="260">
        <f t="shared" si="32"/>
        <v>50.929949063759913</v>
      </c>
      <c r="J106" s="260">
        <f t="shared" si="32"/>
        <v>50.655841562662445</v>
      </c>
      <c r="K106" s="260">
        <f t="shared" si="32"/>
        <v>50.617850623360262</v>
      </c>
      <c r="L106" s="260">
        <f t="shared" si="32"/>
        <v>50.39404481566045</v>
      </c>
      <c r="M106" s="260"/>
    </row>
    <row r="107" spans="1:13">
      <c r="A107" s="14"/>
      <c r="C107" s="262"/>
      <c r="D107" s="262"/>
      <c r="E107" s="262"/>
      <c r="F107" s="262"/>
      <c r="G107" s="262"/>
      <c r="H107" s="262"/>
      <c r="I107" s="262"/>
      <c r="J107" s="262"/>
      <c r="K107" s="262"/>
      <c r="L107" s="262"/>
      <c r="M107" s="262"/>
    </row>
    <row r="108" spans="1:13">
      <c r="A108" s="14"/>
      <c r="B108" s="1" t="s">
        <v>153</v>
      </c>
      <c r="C108" s="260">
        <f t="shared" ref="C108:L108" si="33">(C100*SUM(C50:C53)+C104*SUM(C45:C49,C54:C56))/C57</f>
        <v>54.363763452840338</v>
      </c>
      <c r="D108" s="263">
        <f t="shared" si="33"/>
        <v>56.824720542744764</v>
      </c>
      <c r="E108" s="263">
        <f t="shared" si="33"/>
        <v>54.065138221062611</v>
      </c>
      <c r="F108" s="263">
        <f t="shared" si="33"/>
        <v>53.470680529581706</v>
      </c>
      <c r="G108" s="263">
        <f t="shared" si="33"/>
        <v>53.56579406541298</v>
      </c>
      <c r="H108" s="263">
        <f t="shared" si="33"/>
        <v>56.633702613582777</v>
      </c>
      <c r="I108" s="263">
        <f t="shared" si="33"/>
        <v>50.883528966164796</v>
      </c>
      <c r="J108" s="263">
        <f t="shared" si="33"/>
        <v>50.754778492939224</v>
      </c>
      <c r="K108" s="263">
        <f t="shared" si="33"/>
        <v>54.420174602618239</v>
      </c>
      <c r="L108" s="263">
        <f t="shared" si="33"/>
        <v>53.906480523872581</v>
      </c>
      <c r="M108" s="263"/>
    </row>
    <row r="109" spans="1:13">
      <c r="A109" s="14"/>
      <c r="C109" s="260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</row>
    <row r="110" spans="1:13">
      <c r="A110" s="14"/>
      <c r="B110" s="1" t="s">
        <v>154</v>
      </c>
      <c r="C110" s="260">
        <f>SUMPRODUCT(C108:L108,C57:L57)/SUM(C57:L57)</f>
        <v>54.229338739013528</v>
      </c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</row>
    <row r="111" spans="1:13">
      <c r="A111" s="14"/>
      <c r="C111" s="260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</row>
    <row r="112" spans="1:13">
      <c r="A112" s="14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</row>
    <row r="113" spans="1:13">
      <c r="A113" s="2" t="s">
        <v>155</v>
      </c>
      <c r="B113" s="10" t="s">
        <v>156</v>
      </c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</row>
    <row r="114" spans="1:13">
      <c r="A114" s="14"/>
      <c r="B114" s="11" t="s">
        <v>157</v>
      </c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</row>
    <row r="115" spans="1:13">
      <c r="A115" s="14"/>
      <c r="B115" s="11" t="s">
        <v>158</v>
      </c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</row>
    <row r="116" spans="1:13">
      <c r="A116" s="14"/>
      <c r="B116" s="10"/>
      <c r="C116" s="5" t="str">
        <f>+C7</f>
        <v>RS</v>
      </c>
      <c r="D116" s="5" t="str">
        <f t="shared" ref="D116:L116" si="34">+D7</f>
        <v>RHS</v>
      </c>
      <c r="E116" s="5" t="str">
        <f t="shared" si="34"/>
        <v>RLM</v>
      </c>
      <c r="F116" s="5" t="str">
        <f t="shared" si="34"/>
        <v>WH</v>
      </c>
      <c r="G116" s="5" t="str">
        <f t="shared" si="34"/>
        <v>WHS</v>
      </c>
      <c r="H116" s="5" t="str">
        <f t="shared" si="34"/>
        <v>HS</v>
      </c>
      <c r="I116" s="5" t="str">
        <f t="shared" si="34"/>
        <v>PSAL</v>
      </c>
      <c r="J116" s="5" t="str">
        <f t="shared" si="34"/>
        <v>BPL</v>
      </c>
      <c r="K116" s="5" t="str">
        <f t="shared" si="34"/>
        <v>GLP</v>
      </c>
      <c r="L116" s="5" t="str">
        <f t="shared" si="34"/>
        <v>LPL-S</v>
      </c>
      <c r="M116" s="5"/>
    </row>
    <row r="117" spans="1:13">
      <c r="A117" s="14"/>
      <c r="C117" s="206"/>
    </row>
    <row r="118" spans="1:13">
      <c r="A118" s="14"/>
      <c r="B118" s="31" t="s">
        <v>149</v>
      </c>
      <c r="C118" s="264">
        <f t="shared" ref="C118:L118" si="35">SUM(C50:C53)*C100/1000</f>
        <v>295820.15716285066</v>
      </c>
      <c r="D118" s="264">
        <f t="shared" si="35"/>
        <v>845.67704431751486</v>
      </c>
      <c r="E118" s="264">
        <f t="shared" si="35"/>
        <v>3855.70505520912</v>
      </c>
      <c r="F118" s="264">
        <f t="shared" si="35"/>
        <v>3.342742757538431</v>
      </c>
      <c r="G118" s="264">
        <f t="shared" si="35"/>
        <v>4.4668237865950235E-2</v>
      </c>
      <c r="H118" s="264">
        <f t="shared" si="35"/>
        <v>112.82981292498438</v>
      </c>
      <c r="I118" s="264">
        <f t="shared" si="35"/>
        <v>1618.8549240890011</v>
      </c>
      <c r="J118" s="264">
        <f t="shared" si="35"/>
        <v>3479.5485873262346</v>
      </c>
      <c r="K118" s="264">
        <f t="shared" si="35"/>
        <v>117521.12950316606</v>
      </c>
      <c r="L118" s="264">
        <f t="shared" si="35"/>
        <v>96139.448267154687</v>
      </c>
      <c r="M118" s="264"/>
    </row>
    <row r="119" spans="1:13">
      <c r="A119" s="14"/>
      <c r="B119" s="261" t="s">
        <v>150</v>
      </c>
      <c r="C119" s="264">
        <f t="shared" ref="C119:L119" si="36">SUMPRODUCT(C50:C53,C14:C17)*C101/1000</f>
        <v>188171.85771583903</v>
      </c>
      <c r="D119" s="264">
        <f t="shared" si="36"/>
        <v>545.28687595868996</v>
      </c>
      <c r="E119" s="264">
        <f t="shared" si="36"/>
        <v>2456.3316451108426</v>
      </c>
      <c r="F119" s="264">
        <f t="shared" si="36"/>
        <v>2.1211337670732116</v>
      </c>
      <c r="G119" s="264">
        <f t="shared" si="36"/>
        <v>2.9368335515599357E-2</v>
      </c>
      <c r="H119" s="264">
        <f t="shared" si="36"/>
        <v>77.704213137549161</v>
      </c>
      <c r="I119" s="264">
        <f t="shared" si="36"/>
        <v>495.45069174005073</v>
      </c>
      <c r="J119" s="264">
        <f t="shared" si="36"/>
        <v>1061.8171641664608</v>
      </c>
      <c r="K119" s="264">
        <f t="shared" si="36"/>
        <v>79567.458340182289</v>
      </c>
      <c r="L119" s="264">
        <f t="shared" si="36"/>
        <v>62385.432800057679</v>
      </c>
      <c r="M119" s="264"/>
    </row>
    <row r="120" spans="1:13">
      <c r="A120" s="14"/>
      <c r="B120" s="261" t="s">
        <v>151</v>
      </c>
      <c r="C120" s="264">
        <f t="shared" ref="C120:L120" si="37">SUMPRODUCT(C50:C53,O14:O17)*C102/1000</f>
        <v>107648.29944701165</v>
      </c>
      <c r="D120" s="264">
        <f t="shared" si="37"/>
        <v>300.39016835882489</v>
      </c>
      <c r="E120" s="264">
        <f t="shared" si="37"/>
        <v>1399.3734100982767</v>
      </c>
      <c r="F120" s="264">
        <f t="shared" si="37"/>
        <v>1.2216089904652196</v>
      </c>
      <c r="G120" s="264">
        <f t="shared" si="37"/>
        <v>1.5299902350350869E-2</v>
      </c>
      <c r="H120" s="264">
        <f t="shared" si="37"/>
        <v>35.125599787435227</v>
      </c>
      <c r="I120" s="264">
        <f t="shared" si="37"/>
        <v>1123.4042323489502</v>
      </c>
      <c r="J120" s="264">
        <f t="shared" si="37"/>
        <v>2417.7314231597738</v>
      </c>
      <c r="K120" s="264">
        <f t="shared" si="37"/>
        <v>37953.671162983759</v>
      </c>
      <c r="L120" s="264">
        <f t="shared" si="37"/>
        <v>33754.015467097001</v>
      </c>
      <c r="M120" s="264"/>
    </row>
    <row r="121" spans="1:13">
      <c r="A121" s="14"/>
      <c r="C121" s="265"/>
      <c r="D121" s="265"/>
      <c r="E121" s="265"/>
      <c r="F121" s="265"/>
      <c r="G121" s="265"/>
      <c r="H121" s="265"/>
      <c r="I121" s="265"/>
      <c r="J121" s="265"/>
      <c r="K121" s="265"/>
      <c r="L121" s="265"/>
      <c r="M121" s="265"/>
    </row>
    <row r="122" spans="1:13">
      <c r="A122" s="14"/>
      <c r="B122" s="31" t="s">
        <v>152</v>
      </c>
      <c r="C122" s="265">
        <f t="shared" ref="C122:L122" si="38">SUM(C45:C49,C54:C56)*C104/1000</f>
        <v>432322.75930186023</v>
      </c>
      <c r="D122" s="265">
        <f t="shared" si="38"/>
        <v>3276.4188767309283</v>
      </c>
      <c r="E122" s="265">
        <f t="shared" si="38"/>
        <v>5087.9436460214984</v>
      </c>
      <c r="F122" s="265">
        <f t="shared" si="38"/>
        <v>9.1159258058541077</v>
      </c>
      <c r="G122" s="265">
        <f t="shared" si="38"/>
        <v>0.38385811465735359</v>
      </c>
      <c r="H122" s="265">
        <f t="shared" si="38"/>
        <v>410.37792600418976</v>
      </c>
      <c r="I122" s="265">
        <f t="shared" si="38"/>
        <v>5236.1740982327201</v>
      </c>
      <c r="J122" s="265">
        <f t="shared" si="38"/>
        <v>11783.123872399492</v>
      </c>
      <c r="K122" s="265">
        <f t="shared" si="38"/>
        <v>214453.7836632455</v>
      </c>
      <c r="L122" s="265">
        <f t="shared" si="38"/>
        <v>179714.72996588037</v>
      </c>
      <c r="M122" s="265"/>
    </row>
    <row r="123" spans="1:13">
      <c r="A123" s="14"/>
      <c r="B123" s="261" t="s">
        <v>150</v>
      </c>
      <c r="C123" s="264">
        <f t="shared" ref="C123:L123" si="39">(SUMPRODUCT(C45:C49,C9:C13)+SUMPRODUCT(C54:C56,C18:C20))*C105/1000</f>
        <v>224948.8498368584</v>
      </c>
      <c r="D123" s="264">
        <f t="shared" si="39"/>
        <v>1664.1240389031434</v>
      </c>
      <c r="E123" s="264">
        <f t="shared" si="39"/>
        <v>2600.858122149566</v>
      </c>
      <c r="F123" s="264">
        <f t="shared" si="39"/>
        <v>4.7467995116727231</v>
      </c>
      <c r="G123" s="264">
        <f t="shared" si="39"/>
        <v>0.19947587574528897</v>
      </c>
      <c r="H123" s="264">
        <f t="shared" si="39"/>
        <v>212.21657331994152</v>
      </c>
      <c r="I123" s="264">
        <f t="shared" si="39"/>
        <v>1643.2593741742519</v>
      </c>
      <c r="J123" s="264">
        <f t="shared" si="39"/>
        <v>3676.1276663926719</v>
      </c>
      <c r="K123" s="264">
        <f t="shared" si="39"/>
        <v>123219.03681266635</v>
      </c>
      <c r="L123" s="264">
        <f t="shared" si="39"/>
        <v>99860.882710575839</v>
      </c>
      <c r="M123" s="264"/>
    </row>
    <row r="124" spans="1:13">
      <c r="A124" s="14"/>
      <c r="B124" s="261" t="s">
        <v>151</v>
      </c>
      <c r="C124" s="264">
        <f t="shared" ref="C124:L124" si="40">+(SUMPRODUCT(C45:C49,O9:O13)+SUMPRODUCT(C54:C56,O18:O20))*C106/1000</f>
        <v>207373.90946500175</v>
      </c>
      <c r="D124" s="264">
        <f t="shared" si="40"/>
        <v>1612.2948378277842</v>
      </c>
      <c r="E124" s="264">
        <f t="shared" si="40"/>
        <v>2487.0855238719314</v>
      </c>
      <c r="F124" s="264">
        <f t="shared" si="40"/>
        <v>4.3691262941813838</v>
      </c>
      <c r="G124" s="264">
        <f t="shared" si="40"/>
        <v>0.18438223891206468</v>
      </c>
      <c r="H124" s="264">
        <f t="shared" si="40"/>
        <v>198.16135268424827</v>
      </c>
      <c r="I124" s="264">
        <f t="shared" si="40"/>
        <v>3592.9147240584684</v>
      </c>
      <c r="J124" s="264">
        <f t="shared" si="40"/>
        <v>8106.9962060068192</v>
      </c>
      <c r="K124" s="264">
        <f t="shared" si="40"/>
        <v>91234.746850579162</v>
      </c>
      <c r="L124" s="264">
        <f t="shared" si="40"/>
        <v>79853.847255304543</v>
      </c>
      <c r="M124" s="264"/>
    </row>
    <row r="125" spans="1:13">
      <c r="A125" s="14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</row>
    <row r="126" spans="1:13">
      <c r="A126" s="14"/>
      <c r="B126" s="1" t="s">
        <v>153</v>
      </c>
      <c r="C126" s="265">
        <f>+C118+C122</f>
        <v>728142.91646471084</v>
      </c>
      <c r="D126" s="265">
        <f t="shared" ref="D126:L126" si="41">+D118+D122</f>
        <v>4122.0959210484434</v>
      </c>
      <c r="E126" s="265">
        <f t="shared" si="41"/>
        <v>8943.6487012306188</v>
      </c>
      <c r="F126" s="265">
        <f t="shared" si="41"/>
        <v>12.458668563392539</v>
      </c>
      <c r="G126" s="265">
        <f t="shared" si="41"/>
        <v>0.42852635252330384</v>
      </c>
      <c r="H126" s="265">
        <f t="shared" si="41"/>
        <v>523.20773892917418</v>
      </c>
      <c r="I126" s="265">
        <f t="shared" si="41"/>
        <v>6855.0290223217216</v>
      </c>
      <c r="J126" s="265">
        <f t="shared" si="41"/>
        <v>15262.672459725727</v>
      </c>
      <c r="K126" s="265">
        <f t="shared" si="41"/>
        <v>331974.91316641157</v>
      </c>
      <c r="L126" s="265">
        <f t="shared" si="41"/>
        <v>275854.17823303503</v>
      </c>
      <c r="M126" s="265"/>
    </row>
    <row r="127" spans="1:13">
      <c r="A127" s="14"/>
    </row>
    <row r="128" spans="1:13">
      <c r="A128" s="14"/>
      <c r="B128" s="1" t="s">
        <v>154</v>
      </c>
      <c r="C128" s="264">
        <f>SUM(C126:L126)</f>
        <v>1371691.5489023291</v>
      </c>
      <c r="E128" s="266"/>
      <c r="F128" s="260"/>
    </row>
    <row r="129" spans="1:30">
      <c r="A129" s="14"/>
    </row>
    <row r="130" spans="1:30">
      <c r="A130" s="14"/>
    </row>
    <row r="131" spans="1:30">
      <c r="A131" s="2" t="s">
        <v>159</v>
      </c>
      <c r="B131" s="10" t="s">
        <v>160</v>
      </c>
      <c r="C131" s="263"/>
      <c r="Q131" s="1" t="s">
        <v>161</v>
      </c>
      <c r="T131" s="1" t="s">
        <v>162</v>
      </c>
      <c r="W131" s="1" t="s">
        <v>163</v>
      </c>
      <c r="Z131" s="1" t="s">
        <v>164</v>
      </c>
    </row>
    <row r="132" spans="1:30">
      <c r="A132" s="14"/>
      <c r="B132" s="11" t="s">
        <v>165</v>
      </c>
      <c r="C132" s="263"/>
      <c r="W132" s="1" t="s">
        <v>166</v>
      </c>
      <c r="Z132" s="1" t="s">
        <v>167</v>
      </c>
      <c r="AC132" s="1" t="s">
        <v>168</v>
      </c>
    </row>
    <row r="133" spans="1:30">
      <c r="A133" s="14"/>
      <c r="B133" s="11" t="s">
        <v>148</v>
      </c>
      <c r="C133" s="263"/>
    </row>
    <row r="134" spans="1:30">
      <c r="A134" s="14"/>
      <c r="B134" s="10"/>
      <c r="C134" s="5" t="str">
        <f>+C7</f>
        <v>RS</v>
      </c>
      <c r="D134" s="5" t="str">
        <f t="shared" ref="D134:L134" si="42">+D7</f>
        <v>RHS</v>
      </c>
      <c r="E134" s="5" t="str">
        <f t="shared" si="42"/>
        <v>RLM</v>
      </c>
      <c r="F134" s="5" t="str">
        <f t="shared" si="42"/>
        <v>WH</v>
      </c>
      <c r="G134" s="5" t="str">
        <f t="shared" si="42"/>
        <v>WHS</v>
      </c>
      <c r="H134" s="5" t="str">
        <f t="shared" si="42"/>
        <v>HS</v>
      </c>
      <c r="I134" s="5" t="str">
        <f t="shared" si="42"/>
        <v>PSAL</v>
      </c>
      <c r="J134" s="5" t="str">
        <f t="shared" si="42"/>
        <v>BPL</v>
      </c>
      <c r="K134" s="5" t="str">
        <f t="shared" si="42"/>
        <v>GLP</v>
      </c>
      <c r="L134" s="5" t="str">
        <f t="shared" si="42"/>
        <v>LPL-S</v>
      </c>
      <c r="M134" s="5"/>
      <c r="O134" s="5"/>
      <c r="P134" s="5"/>
      <c r="Q134" s="5" t="str">
        <f>+E134</f>
        <v>RLM</v>
      </c>
      <c r="R134" s="5" t="str">
        <f>+L134</f>
        <v>LPL-S</v>
      </c>
      <c r="S134" s="5"/>
      <c r="T134" s="5" t="str">
        <f>+E134</f>
        <v>RLM</v>
      </c>
      <c r="U134" s="5" t="str">
        <f>+L134</f>
        <v>LPL-S</v>
      </c>
      <c r="V134" s="5"/>
      <c r="W134" s="5" t="str">
        <f>+E134</f>
        <v>RLM</v>
      </c>
      <c r="X134" s="5" t="str">
        <f>+L134</f>
        <v>LPL-S</v>
      </c>
      <c r="Z134" s="5" t="str">
        <f>+E134</f>
        <v>RLM</v>
      </c>
      <c r="AA134" s="5" t="str">
        <f>+L134</f>
        <v>LPL-S</v>
      </c>
      <c r="AC134" s="267" t="str">
        <f>+E134</f>
        <v>RLM</v>
      </c>
      <c r="AD134" s="5" t="str">
        <f>+L134</f>
        <v>LPL-S</v>
      </c>
    </row>
    <row r="135" spans="1:30">
      <c r="A135" s="14"/>
      <c r="C135" s="206"/>
      <c r="E135"/>
    </row>
    <row r="136" spans="1:30">
      <c r="A136" s="14"/>
      <c r="B136" s="31" t="s">
        <v>149</v>
      </c>
      <c r="C136" s="260">
        <f t="shared" ref="C136:L136" si="43">+C118/SUM(C50:C53)*1000</f>
        <v>52.921016613804689</v>
      </c>
      <c r="D136" s="260">
        <f t="shared" si="43"/>
        <v>53.246751795761817</v>
      </c>
      <c r="E136" s="260">
        <f t="shared" si="43"/>
        <v>52.696339098394418</v>
      </c>
      <c r="F136" s="260">
        <f t="shared" si="43"/>
        <v>50.64761753846107</v>
      </c>
      <c r="G136" s="260">
        <f t="shared" si="43"/>
        <v>44.668237865950232</v>
      </c>
      <c r="H136" s="260">
        <f t="shared" si="43"/>
        <v>52.636092821216515</v>
      </c>
      <c r="I136" s="260">
        <f t="shared" si="43"/>
        <v>43.539843578413738</v>
      </c>
      <c r="J136" s="260">
        <f t="shared" si="43"/>
        <v>43.48076960107759</v>
      </c>
      <c r="K136" s="260">
        <f t="shared" si="43"/>
        <v>53.258086469337293</v>
      </c>
      <c r="L136" s="260">
        <f t="shared" si="43"/>
        <v>52.437417392330289</v>
      </c>
      <c r="M136" s="260"/>
    </row>
    <row r="137" spans="1:30">
      <c r="A137" s="14"/>
      <c r="B137" s="261" t="s">
        <v>169</v>
      </c>
      <c r="C137" s="264"/>
      <c r="E137" s="260">
        <f>+(E119*1000-W137*AVERAGE(E$101,E$102))/Q137</f>
        <v>66.156380451254478</v>
      </c>
      <c r="F137" s="260"/>
      <c r="G137" s="264"/>
      <c r="H137" s="264"/>
      <c r="I137" s="264"/>
      <c r="J137" s="264"/>
      <c r="K137" s="264"/>
      <c r="L137" s="260">
        <f>+(L119*1000-X137*AVERAGE(L$101,L$102))/R137</f>
        <v>65.480152782761436</v>
      </c>
      <c r="M137" s="260"/>
      <c r="N137" s="260"/>
      <c r="Q137" s="41">
        <f>SUMPRODUCT(E50:E53,E32:E35)</f>
        <v>35138.410993201906</v>
      </c>
      <c r="R137" s="41">
        <f>SUMPRODUCT(L50:L53,L32:L35)</f>
        <v>890459.83000916615</v>
      </c>
      <c r="T137" s="41">
        <f>SUMPRODUCT(E50:E53,E14:E17)</f>
        <v>37655.733432469307</v>
      </c>
      <c r="U137" s="41">
        <f>SUMPRODUCT(L50:L53,L14:L17)</f>
        <v>969320.23475213768</v>
      </c>
      <c r="W137" s="41">
        <f>+T137-Q137</f>
        <v>2517.3224392674019</v>
      </c>
      <c r="X137" s="41">
        <f>+U137-R137</f>
        <v>78860.404742971528</v>
      </c>
      <c r="Z137" s="268">
        <f>+E137*Q137/1000</f>
        <v>2324.6300861188079</v>
      </c>
      <c r="AA137" s="268">
        <f>+L137*R137/1000</f>
        <v>58307.445715911977</v>
      </c>
    </row>
    <row r="138" spans="1:30" ht="15.25">
      <c r="A138" s="14"/>
      <c r="B138" s="261" t="s">
        <v>170</v>
      </c>
      <c r="C138" s="260"/>
      <c r="D138" s="260"/>
      <c r="E138" s="260">
        <f>+(E120*1000-W138*AVERAGE(E$101,E$102))/Q138</f>
        <v>40.259709655447971</v>
      </c>
      <c r="F138" s="264"/>
      <c r="G138" s="264"/>
      <c r="H138" s="264"/>
      <c r="I138" s="264"/>
      <c r="J138" s="264"/>
      <c r="K138" s="264"/>
      <c r="L138" s="260">
        <f>+(L120*1000-X138*AVERAGE(L$101,L$102))/R138</f>
        <v>40.120760522747673</v>
      </c>
      <c r="M138" s="260"/>
      <c r="N138" s="260"/>
      <c r="Q138" s="41">
        <f>SUMPRODUCT(E50:E53,Q32:Q35)</f>
        <v>38029.955560872397</v>
      </c>
      <c r="R138" s="41">
        <f>SUMPRODUCT(L50:L53,X32:X35)</f>
        <v>942953.27551910933</v>
      </c>
      <c r="T138" s="41">
        <f>SUMPRODUCT(E50:E53,Q14:Q17)</f>
        <v>35512.633121604988</v>
      </c>
      <c r="U138" s="41">
        <f>SUMPRODUCT(L50:L53,X14:X17)</f>
        <v>864092.87077613792</v>
      </c>
      <c r="W138" s="41">
        <f>+T138-Q138</f>
        <v>-2517.3224392674092</v>
      </c>
      <c r="X138" s="41">
        <f>+U138-R138</f>
        <v>-78860.404742971412</v>
      </c>
      <c r="Z138" s="269">
        <f>+E138*Q138/1000</f>
        <v>1531.0749690903115</v>
      </c>
      <c r="AA138" s="269">
        <f>+L138*R138/1000</f>
        <v>37832.002551242695</v>
      </c>
    </row>
    <row r="139" spans="1:30">
      <c r="A139" s="14"/>
      <c r="C139" s="260"/>
      <c r="D139" s="260"/>
      <c r="E139" s="265"/>
      <c r="F139" s="265"/>
      <c r="G139" s="265"/>
      <c r="H139" s="265"/>
      <c r="I139" s="265"/>
      <c r="J139" s="265"/>
      <c r="K139" s="265"/>
      <c r="L139" s="265"/>
      <c r="M139" s="265"/>
      <c r="Q139" s="41"/>
      <c r="R139" s="41"/>
      <c r="T139" s="41"/>
      <c r="U139" s="41"/>
      <c r="W139" s="41"/>
      <c r="X139" s="41"/>
      <c r="Z139" s="268">
        <f>+Z138+Z137</f>
        <v>3855.7050552091196</v>
      </c>
      <c r="AA139" s="268">
        <f>+AA138+AA137</f>
        <v>96139.448267154672</v>
      </c>
      <c r="AC139" s="206">
        <f>+E118</f>
        <v>3855.70505520912</v>
      </c>
      <c r="AD139" s="206">
        <f>+L118</f>
        <v>96139.448267154687</v>
      </c>
    </row>
    <row r="140" spans="1:30">
      <c r="A140" s="14"/>
      <c r="B140" s="31" t="s">
        <v>152</v>
      </c>
      <c r="C140" s="263">
        <f t="shared" ref="C140:L140" si="44">+C122/SUM(C45:C49,C54:C56)*1000</f>
        <v>55.39716512066245</v>
      </c>
      <c r="D140" s="263">
        <f t="shared" si="44"/>
        <v>57.827682201725594</v>
      </c>
      <c r="E140" s="263">
        <f t="shared" si="44"/>
        <v>55.150744037108396</v>
      </c>
      <c r="F140" s="263">
        <f t="shared" si="44"/>
        <v>54.58638207098268</v>
      </c>
      <c r="G140" s="263">
        <f t="shared" si="44"/>
        <v>54.836873522479081</v>
      </c>
      <c r="H140" s="263">
        <f t="shared" si="44"/>
        <v>57.841505946088802</v>
      </c>
      <c r="I140" s="263">
        <f t="shared" si="44"/>
        <v>53.682876574833863</v>
      </c>
      <c r="J140" s="263">
        <f t="shared" si="44"/>
        <v>53.392438555612159</v>
      </c>
      <c r="K140" s="263">
        <f t="shared" si="44"/>
        <v>55.078771985516298</v>
      </c>
      <c r="L140" s="263">
        <f t="shared" si="44"/>
        <v>54.72667373269546</v>
      </c>
      <c r="M140" s="263"/>
      <c r="Q140" s="41"/>
      <c r="R140" s="41"/>
      <c r="T140" s="41"/>
      <c r="U140" s="41"/>
      <c r="W140" s="41"/>
      <c r="X140" s="41"/>
      <c r="Z140" s="268"/>
      <c r="AA140" s="268"/>
      <c r="AC140" s="206"/>
    </row>
    <row r="141" spans="1:30">
      <c r="A141" s="14"/>
      <c r="B141" s="261" t="s">
        <v>169</v>
      </c>
      <c r="C141" s="264"/>
      <c r="D141" s="264"/>
      <c r="E141" s="260">
        <f>+(E123*1000-W141*AVERAGE(E$105,E$106))/Q141</f>
        <v>60.284891750433516</v>
      </c>
      <c r="F141" s="260"/>
      <c r="G141" s="260"/>
      <c r="H141" s="264"/>
      <c r="I141" s="264"/>
      <c r="J141" s="264"/>
      <c r="K141" s="264"/>
      <c r="L141" s="260">
        <f>+(L123*1000-X141*AVERAGE(L$105,L$106))/R141</f>
        <v>59.161997235016187</v>
      </c>
      <c r="M141" s="260"/>
      <c r="N141" s="260"/>
      <c r="Q141" s="41">
        <f>SUMPRODUCT(E45:E49,E27:E31)+SUMPRODUCT(E54:E56,E36:E38)</f>
        <v>39075.621720067647</v>
      </c>
      <c r="R141" s="41">
        <f>SUMPRODUCT(L45:L49,L27:L31)+SUMPRODUCT(L54:L56,L36:L38)</f>
        <v>1552730.1573699911</v>
      </c>
      <c r="T141" s="41">
        <f>SUMPRODUCT(E45:E49,E9:E13)+SUMPRODUCT(E54:E56,E18:E20)</f>
        <v>43501.363785475332</v>
      </c>
      <c r="U141" s="41">
        <f>SUMPRODUCT(L45:L49,L9:L13)+SUMPRODUCT(L54:L56,L18:L20)</f>
        <v>1699270.9478141484</v>
      </c>
      <c r="W141" s="41">
        <f>+T141-Q141</f>
        <v>4425.742065407685</v>
      </c>
      <c r="X141" s="41">
        <f>+U141-R141</f>
        <v>146540.79044415732</v>
      </c>
      <c r="Z141" s="268">
        <f>+E141*Q141/1000</f>
        <v>2355.6696254751669</v>
      </c>
      <c r="AA141" s="268">
        <f>+L141*R141/1000</f>
        <v>91862.617277049663</v>
      </c>
      <c r="AC141" s="206"/>
    </row>
    <row r="142" spans="1:30" ht="15.25">
      <c r="A142" s="14"/>
      <c r="B142" s="261" t="s">
        <v>170</v>
      </c>
      <c r="C142" s="264"/>
      <c r="D142" s="264"/>
      <c r="E142" s="260">
        <f>+(E124*1000-W142*AVERAGE(E$105,E$106))/Q142</f>
        <v>51.378243938088595</v>
      </c>
      <c r="F142" s="260"/>
      <c r="G142" s="260"/>
      <c r="H142" s="264"/>
      <c r="I142" s="264"/>
      <c r="J142" s="264"/>
      <c r="K142" s="264"/>
      <c r="L142" s="260">
        <f>+(L124*1000-X142*AVERAGE(L$105,L$106))/R142</f>
        <v>50.748427421044482</v>
      </c>
      <c r="M142" s="260"/>
      <c r="N142" s="260"/>
      <c r="Q142" s="41">
        <f>SUMPRODUCT(E45:E49,Q27:Q31)+SUMPRODUCT(E54:E56,Q36:Q38)</f>
        <v>53179.591420811397</v>
      </c>
      <c r="R142" s="41">
        <f>SUMPRODUCT(L45:L49,X27:X31)+SUMPRODUCT(L54:L56,X36:X38)</f>
        <v>1731129.7542276154</v>
      </c>
      <c r="T142" s="41">
        <f>SUMPRODUCT(E45:E49,Q9:Q13)+SUMPRODUCT(E54:E56,Q18:Q20)</f>
        <v>48753.849355403698</v>
      </c>
      <c r="U142" s="41">
        <f>SUMPRODUCT(L45:L49,X9:X13)+SUMPRODUCT(L54:L56,X18:X20)</f>
        <v>1584588.9637834581</v>
      </c>
      <c r="W142" s="41">
        <f>+T142-Q142</f>
        <v>-4425.7420654076996</v>
      </c>
      <c r="X142" s="41">
        <f>+U142-R142</f>
        <v>-146540.79044415732</v>
      </c>
      <c r="Z142" s="269">
        <f>+E142*Q142/1000</f>
        <v>2732.2740205463315</v>
      </c>
      <c r="AA142" s="269">
        <f>+L142*R142/1000</f>
        <v>87852.112688830719</v>
      </c>
      <c r="AC142" s="206"/>
    </row>
    <row r="143" spans="1:30">
      <c r="A143" s="14"/>
      <c r="C143" s="262"/>
      <c r="D143" s="262"/>
      <c r="E143" s="262"/>
      <c r="F143" s="262"/>
      <c r="G143" s="262"/>
      <c r="H143" s="262"/>
      <c r="I143" s="262"/>
      <c r="J143" s="262"/>
      <c r="K143" s="262"/>
      <c r="L143" s="262"/>
      <c r="M143" s="262"/>
      <c r="Z143" s="268">
        <f>+Z142+Z141</f>
        <v>5087.9436460214984</v>
      </c>
      <c r="AA143" s="268">
        <f>+AA142+AA141</f>
        <v>179714.7299658804</v>
      </c>
      <c r="AC143" s="206">
        <f>+E122</f>
        <v>5087.9436460214984</v>
      </c>
      <c r="AD143" s="206">
        <f>+L122</f>
        <v>179714.72996588037</v>
      </c>
    </row>
    <row r="144" spans="1:30">
      <c r="A144" s="14"/>
      <c r="B144" s="1" t="s">
        <v>171</v>
      </c>
      <c r="C144" s="260">
        <f t="shared" ref="C144:L144" si="45">(C136*SUM(C50:C53)+C140*SUM(C45:C49,C54:C56))/C57</f>
        <v>54.363763452840338</v>
      </c>
      <c r="D144" s="260">
        <f t="shared" si="45"/>
        <v>56.824720542744764</v>
      </c>
      <c r="E144" s="260">
        <f t="shared" si="45"/>
        <v>54.065138221062611</v>
      </c>
      <c r="F144" s="260">
        <f t="shared" si="45"/>
        <v>53.470680529581706</v>
      </c>
      <c r="G144" s="260">
        <f t="shared" si="45"/>
        <v>53.565794065412973</v>
      </c>
      <c r="H144" s="260">
        <f t="shared" si="45"/>
        <v>56.633702613582777</v>
      </c>
      <c r="I144" s="260">
        <f t="shared" si="45"/>
        <v>50.883528966164796</v>
      </c>
      <c r="J144" s="260">
        <f t="shared" si="45"/>
        <v>50.754778492939224</v>
      </c>
      <c r="K144" s="260">
        <f t="shared" si="45"/>
        <v>54.420174602618239</v>
      </c>
      <c r="L144" s="260">
        <f t="shared" si="45"/>
        <v>53.906480523872581</v>
      </c>
      <c r="M144" s="260"/>
      <c r="AC144" s="206"/>
    </row>
    <row r="145" spans="1:40">
      <c r="A145" s="14"/>
      <c r="B145" s="1" t="s">
        <v>172</v>
      </c>
      <c r="C145" s="260">
        <f>+C128/SUM(C57:L57)*1000</f>
        <v>54.229338739013535</v>
      </c>
      <c r="T145" s="41"/>
      <c r="U145" s="41"/>
    </row>
    <row r="146" spans="1:40">
      <c r="A146" s="14"/>
      <c r="T146" s="41"/>
      <c r="U146" s="41"/>
    </row>
    <row r="147" spans="1:40">
      <c r="A147" s="14"/>
      <c r="T147" s="41"/>
      <c r="U147" s="41"/>
    </row>
    <row r="148" spans="1:40">
      <c r="A148" s="2" t="s">
        <v>59</v>
      </c>
      <c r="B148" s="10" t="s">
        <v>60</v>
      </c>
      <c r="L148" s="5" t="s">
        <v>173</v>
      </c>
      <c r="T148" s="41"/>
      <c r="U148" s="41"/>
    </row>
    <row r="149" spans="1:40">
      <c r="A149" s="14"/>
      <c r="B149" s="11" t="str">
        <f>Inputs!B97</f>
        <v>Obligations - Peak Load shares eff 6/1/25, scaling factors eff 6/1/25, Transmission Loads eff 1/1/25; costs are market estimates</v>
      </c>
      <c r="L149" s="5" t="s">
        <v>174</v>
      </c>
      <c r="T149" s="41"/>
      <c r="U149" s="41"/>
    </row>
    <row r="150" spans="1:40">
      <c r="A150" s="14"/>
      <c r="B150" s="11" t="s">
        <v>62</v>
      </c>
      <c r="C150" s="5" t="str">
        <f>+C7</f>
        <v>RS</v>
      </c>
      <c r="D150" s="5" t="str">
        <f t="shared" ref="D150:L150" si="46">+D7</f>
        <v>RHS</v>
      </c>
      <c r="E150" s="5" t="str">
        <f t="shared" si="46"/>
        <v>RLM</v>
      </c>
      <c r="F150" s="5" t="str">
        <f t="shared" si="46"/>
        <v>WH</v>
      </c>
      <c r="G150" s="5" t="str">
        <f t="shared" si="46"/>
        <v>WHS</v>
      </c>
      <c r="H150" s="5" t="str">
        <f t="shared" si="46"/>
        <v>HS</v>
      </c>
      <c r="I150" s="5" t="str">
        <f t="shared" si="46"/>
        <v>PSAL</v>
      </c>
      <c r="J150" s="5" t="str">
        <f t="shared" si="46"/>
        <v>BPL</v>
      </c>
      <c r="K150" s="5" t="str">
        <f t="shared" si="46"/>
        <v>GLP</v>
      </c>
      <c r="L150" s="5" t="str">
        <f t="shared" si="46"/>
        <v>LPL-S</v>
      </c>
      <c r="M150" s="5"/>
      <c r="T150" s="41"/>
      <c r="U150" s="41"/>
      <c r="AD150" s="5" t="s">
        <v>8</v>
      </c>
      <c r="AE150" s="5" t="s">
        <v>9</v>
      </c>
      <c r="AF150" s="5" t="s">
        <v>10</v>
      </c>
      <c r="AG150" s="5" t="s">
        <v>11</v>
      </c>
      <c r="AH150" s="5" t="s">
        <v>12</v>
      </c>
      <c r="AI150" s="5" t="s">
        <v>13</v>
      </c>
      <c r="AJ150" s="5" t="s">
        <v>14</v>
      </c>
      <c r="AK150" s="5" t="s">
        <v>15</v>
      </c>
      <c r="AL150" s="5" t="s">
        <v>16</v>
      </c>
      <c r="AM150" s="5" t="s">
        <v>17</v>
      </c>
    </row>
    <row r="151" spans="1:40">
      <c r="A151" s="14"/>
      <c r="B151" s="11"/>
      <c r="C151" s="5"/>
      <c r="D151" s="5"/>
      <c r="E151" s="5"/>
      <c r="F151" s="5"/>
      <c r="G151" s="5"/>
      <c r="H151" s="5"/>
      <c r="I151" s="5"/>
      <c r="J151" s="5"/>
      <c r="K151" s="5"/>
      <c r="M151" s="5"/>
      <c r="R151" s="506"/>
      <c r="S151" s="506"/>
      <c r="T151" s="506"/>
      <c r="U151" s="506"/>
      <c r="V151" s="506"/>
      <c r="AC151" s="100" t="s">
        <v>63</v>
      </c>
      <c r="AD151" s="92">
        <f>Inputs!C101</f>
        <v>4629.5728375434073</v>
      </c>
      <c r="AE151" s="92">
        <f>Inputs!D101</f>
        <v>13.082147866763224</v>
      </c>
      <c r="AF151" s="92">
        <f>Inputs!E101</f>
        <v>64.623468975916651</v>
      </c>
      <c r="AG151" s="92">
        <f>Inputs!F101</f>
        <v>0</v>
      </c>
      <c r="AH151" s="92">
        <f>Inputs!G101</f>
        <v>0</v>
      </c>
      <c r="AI151" s="92">
        <f>Inputs!H101</f>
        <v>1.5165110008062068</v>
      </c>
      <c r="AJ151" s="92">
        <f>Inputs!I101</f>
        <v>0</v>
      </c>
      <c r="AK151" s="92">
        <f>Inputs!J101</f>
        <v>0</v>
      </c>
      <c r="AL151" s="92">
        <f>Inputs!K101</f>
        <v>1538.0306361815803</v>
      </c>
      <c r="AM151" s="92">
        <f>Inputs!L101</f>
        <v>1383.0516178720507</v>
      </c>
      <c r="AN151" s="1">
        <f>SUM(AD151:AM151)</f>
        <v>7629.8772194405246</v>
      </c>
    </row>
    <row r="152" spans="1:40">
      <c r="A152" s="14"/>
      <c r="T152" s="8"/>
      <c r="AC152" s="94" t="s">
        <v>64</v>
      </c>
      <c r="AD152" s="92">
        <f>Inputs!C102</f>
        <v>4956.4021044689507</v>
      </c>
      <c r="AE152" s="92">
        <f>Inputs!D102</f>
        <v>13.84525330832356</v>
      </c>
      <c r="AF152" s="92">
        <f>Inputs!E102</f>
        <v>68.064355473561761</v>
      </c>
      <c r="AG152" s="92">
        <f>Inputs!F102</f>
        <v>0</v>
      </c>
      <c r="AH152" s="92">
        <f>Inputs!G102</f>
        <v>0</v>
      </c>
      <c r="AI152" s="92">
        <f>Inputs!H102</f>
        <v>1.5690983023498113</v>
      </c>
      <c r="AJ152" s="92">
        <f>Inputs!I102</f>
        <v>0</v>
      </c>
      <c r="AK152" s="92">
        <f>Inputs!J102</f>
        <v>0</v>
      </c>
      <c r="AL152" s="92">
        <f>Inputs!K102</f>
        <v>1546.3133706271058</v>
      </c>
      <c r="AM152" s="92">
        <f>Inputs!L102</f>
        <v>1414.6831457144353</v>
      </c>
    </row>
    <row r="153" spans="1:40">
      <c r="A153" s="84"/>
      <c r="B153" s="1" t="s">
        <v>175</v>
      </c>
      <c r="C153" s="89">
        <f>ROUND(AD151*$AD$154*$AD$155,1)</f>
        <v>4392.3999999999996</v>
      </c>
      <c r="D153" s="89">
        <f t="shared" ref="D153:K153" si="47">ROUND(AE151*$AD$154*$AD$155,1)</f>
        <v>12.4</v>
      </c>
      <c r="E153" s="89">
        <f t="shared" si="47"/>
        <v>61.3</v>
      </c>
      <c r="F153" s="89">
        <f t="shared" si="47"/>
        <v>0</v>
      </c>
      <c r="G153" s="89">
        <f t="shared" si="47"/>
        <v>0</v>
      </c>
      <c r="H153" s="89">
        <f t="shared" si="47"/>
        <v>1.4</v>
      </c>
      <c r="I153" s="89">
        <f t="shared" si="47"/>
        <v>0</v>
      </c>
      <c r="J153" s="89">
        <f t="shared" si="47"/>
        <v>0</v>
      </c>
      <c r="K153" s="89">
        <f t="shared" si="47"/>
        <v>1459.3</v>
      </c>
      <c r="L153" s="89">
        <f>ROUND(AM151*$AD$154*$AD$155*(1-AE45),1)</f>
        <v>940.8</v>
      </c>
      <c r="M153" s="90">
        <f>SUM(C153:L153)</f>
        <v>6867.5999999999995</v>
      </c>
      <c r="R153" s="97"/>
      <c r="S153" s="100"/>
      <c r="T153" s="97"/>
      <c r="U153" s="98"/>
      <c r="V153" s="221"/>
    </row>
    <row r="154" spans="1:40">
      <c r="A154" s="1"/>
      <c r="C154" s="270"/>
      <c r="D154" s="8"/>
      <c r="E154" s="8"/>
      <c r="F154" s="8"/>
      <c r="G154" s="8"/>
      <c r="H154" s="8"/>
      <c r="I154" s="8"/>
      <c r="J154" s="8"/>
      <c r="K154" s="8"/>
      <c r="L154" s="8"/>
      <c r="R154" s="97"/>
      <c r="S154" s="100"/>
      <c r="T154" s="97"/>
      <c r="U154" s="98"/>
      <c r="V154" s="221"/>
      <c r="AC154" s="94" t="s">
        <v>65</v>
      </c>
      <c r="AD154" s="271">
        <f>Inputs!C104</f>
        <v>1.0114925634221574</v>
      </c>
    </row>
    <row r="155" spans="1:40">
      <c r="A155" s="84"/>
      <c r="B155" s="1" t="s">
        <v>176</v>
      </c>
      <c r="C155" s="89">
        <f>ROUND(AD152,1)</f>
        <v>4956.3999999999996</v>
      </c>
      <c r="D155" s="89">
        <f t="shared" ref="D155:K155" si="48">ROUND(AE152,1)</f>
        <v>13.8</v>
      </c>
      <c r="E155" s="89">
        <f t="shared" si="48"/>
        <v>68.099999999999994</v>
      </c>
      <c r="F155" s="89">
        <f t="shared" si="48"/>
        <v>0</v>
      </c>
      <c r="G155" s="89">
        <f t="shared" si="48"/>
        <v>0</v>
      </c>
      <c r="H155" s="89">
        <f t="shared" si="48"/>
        <v>1.6</v>
      </c>
      <c r="I155" s="89">
        <f t="shared" si="48"/>
        <v>0</v>
      </c>
      <c r="J155" s="89">
        <f t="shared" si="48"/>
        <v>0</v>
      </c>
      <c r="K155" s="89">
        <f t="shared" si="48"/>
        <v>1546.3</v>
      </c>
      <c r="L155" s="89">
        <f>ROUND(AM152*(1-AF45),1)</f>
        <v>1014.3</v>
      </c>
      <c r="M155" s="90"/>
      <c r="R155" s="97"/>
      <c r="S155" s="100"/>
      <c r="T155" s="97"/>
      <c r="U155" s="98"/>
      <c r="V155" s="272"/>
      <c r="X155" s="1" t="str">
        <f>+Inputs!B105</f>
        <v>PJM June 1, 2025 (through May 31, 2026) Forecast Pool Requirement</v>
      </c>
      <c r="AD155" s="271">
        <f>Inputs!C105</f>
        <v>0.93799999999999994</v>
      </c>
    </row>
    <row r="156" spans="1:40">
      <c r="A156" s="1"/>
      <c r="C156" s="92"/>
      <c r="D156" s="92"/>
      <c r="E156" s="92"/>
      <c r="F156" s="92"/>
      <c r="G156" s="92"/>
      <c r="H156" s="92"/>
      <c r="I156" s="92"/>
      <c r="J156" s="92"/>
      <c r="K156" s="92"/>
      <c r="M156" s="92"/>
      <c r="V156" s="221"/>
    </row>
    <row r="157" spans="1:40">
      <c r="A157" s="14"/>
      <c r="B157" s="1" t="s">
        <v>177</v>
      </c>
      <c r="I157" s="92"/>
      <c r="K157" s="5"/>
      <c r="M157" s="92"/>
      <c r="AD157" s="1">
        <f>AD151*$AD$154*$AD$155</f>
        <v>4392.446230182597</v>
      </c>
      <c r="AE157" s="1">
        <f t="shared" ref="AE157:AM157" si="49">AE151*$AD$154*$AD$155</f>
        <v>12.412080573409197</v>
      </c>
      <c r="AF157" s="1">
        <f t="shared" si="49"/>
        <v>61.313456477597896</v>
      </c>
      <c r="AG157" s="1">
        <f t="shared" si="49"/>
        <v>0</v>
      </c>
      <c r="AH157" s="1">
        <f t="shared" si="49"/>
        <v>0</v>
      </c>
      <c r="AI157" s="1">
        <f t="shared" si="49"/>
        <v>1.4388353444842426</v>
      </c>
      <c r="AJ157" s="1">
        <f t="shared" si="49"/>
        <v>0</v>
      </c>
      <c r="AK157" s="1">
        <f t="shared" si="49"/>
        <v>0</v>
      </c>
      <c r="AL157" s="1">
        <f t="shared" si="49"/>
        <v>1459.252744662705</v>
      </c>
      <c r="AM157" s="1">
        <f t="shared" si="49"/>
        <v>1312.2117478755556</v>
      </c>
      <c r="AN157" s="1">
        <f>SUM(AD157:AL157)</f>
        <v>5926.8633472407946</v>
      </c>
    </row>
    <row r="158" spans="1:40">
      <c r="A158" s="14"/>
      <c r="D158" s="94" t="s">
        <v>178</v>
      </c>
      <c r="E158" s="95">
        <v>122</v>
      </c>
      <c r="G158" s="94" t="s">
        <v>179</v>
      </c>
      <c r="H158" s="8">
        <v>4</v>
      </c>
      <c r="I158" s="92"/>
      <c r="M158" s="92"/>
    </row>
    <row r="159" spans="1:40">
      <c r="A159" s="14"/>
      <c r="D159" s="273" t="s">
        <v>180</v>
      </c>
      <c r="E159" s="451">
        <v>243</v>
      </c>
      <c r="G159" s="273" t="s">
        <v>181</v>
      </c>
      <c r="H159" s="8">
        <v>8</v>
      </c>
      <c r="I159" s="92"/>
      <c r="K159" s="274"/>
      <c r="L159" s="274"/>
      <c r="M159" s="92"/>
    </row>
    <row r="160" spans="1:40">
      <c r="A160" s="14"/>
      <c r="G160" s="94" t="s">
        <v>182</v>
      </c>
      <c r="H160" s="1">
        <f>+H158+H159</f>
        <v>12</v>
      </c>
      <c r="I160" s="92"/>
      <c r="J160" s="102"/>
      <c r="K160" s="274"/>
      <c r="L160" s="274"/>
      <c r="M160" s="92"/>
    </row>
    <row r="161" spans="1:18">
      <c r="A161" s="14"/>
      <c r="B161" s="8" t="s">
        <v>183</v>
      </c>
      <c r="C161" s="94" t="s">
        <v>184</v>
      </c>
      <c r="D161" s="275">
        <v>0</v>
      </c>
      <c r="E161" s="109" t="s">
        <v>185</v>
      </c>
      <c r="K161" s="276"/>
      <c r="L161" s="277"/>
    </row>
    <row r="162" spans="1:18">
      <c r="A162" s="14"/>
      <c r="B162" s="8"/>
      <c r="C162" s="94"/>
      <c r="D162" s="275"/>
      <c r="E162" s="109"/>
      <c r="K162" s="276"/>
      <c r="L162" s="277"/>
    </row>
    <row r="163" spans="1:18" ht="26">
      <c r="A163" s="14"/>
      <c r="B163" s="8"/>
      <c r="D163" s="278" t="s">
        <v>186</v>
      </c>
      <c r="E163" s="278" t="s">
        <v>187</v>
      </c>
      <c r="F163" s="1" t="s">
        <v>188</v>
      </c>
      <c r="I163" s="274"/>
      <c r="K163" s="276"/>
      <c r="L163" s="277"/>
    </row>
    <row r="164" spans="1:18">
      <c r="A164" s="14"/>
      <c r="B164" s="8" t="s">
        <v>67</v>
      </c>
      <c r="C164" s="94" t="s">
        <v>68</v>
      </c>
      <c r="D164" s="274">
        <f>Inputs!E113</f>
        <v>329.43</v>
      </c>
      <c r="E164" s="274">
        <v>0</v>
      </c>
      <c r="F164" s="211">
        <f>SUM(D164:E164)</f>
        <v>329.43</v>
      </c>
      <c r="G164" s="109" t="s">
        <v>69</v>
      </c>
      <c r="K164" s="279"/>
    </row>
    <row r="165" spans="1:18">
      <c r="A165" s="14"/>
      <c r="C165" s="94" t="s">
        <v>70</v>
      </c>
      <c r="D165" s="274">
        <f>Inputs!E114</f>
        <v>329.43</v>
      </c>
      <c r="E165" s="274">
        <v>0</v>
      </c>
      <c r="F165" s="211">
        <f>SUM(D165:E165)</f>
        <v>329.43</v>
      </c>
      <c r="G165" s="109" t="s">
        <v>69</v>
      </c>
      <c r="Q165" s="94" t="s">
        <v>189</v>
      </c>
    </row>
    <row r="166" spans="1:18">
      <c r="A166" s="14"/>
      <c r="E166" s="122"/>
      <c r="F166" s="8"/>
      <c r="G166" s="8"/>
      <c r="H166" s="8"/>
      <c r="I166" s="8"/>
      <c r="J166" s="8"/>
      <c r="P166" s="94" t="s">
        <v>190</v>
      </c>
      <c r="Q166" s="280">
        <f>(F164*E158+F165*E159)/1000</f>
        <v>120.24195000000002</v>
      </c>
      <c r="R166" s="1" t="s">
        <v>191</v>
      </c>
    </row>
    <row r="167" spans="1:18">
      <c r="A167" s="2"/>
      <c r="C167" s="5" t="str">
        <f>+C7</f>
        <v>RS</v>
      </c>
      <c r="D167" s="5" t="str">
        <f>+D7</f>
        <v>RHS</v>
      </c>
      <c r="F167" s="8"/>
      <c r="G167" s="8"/>
      <c r="H167" s="8"/>
      <c r="I167" s="8"/>
      <c r="J167" s="100"/>
    </row>
    <row r="168" spans="1:18">
      <c r="A168" s="2"/>
      <c r="B168" s="281" t="s">
        <v>192</v>
      </c>
      <c r="C168" s="281"/>
      <c r="D168" s="281"/>
      <c r="F168" s="8"/>
      <c r="G168" s="8"/>
      <c r="H168" s="8"/>
      <c r="I168" s="8"/>
      <c r="J168" s="100"/>
      <c r="K168" s="262"/>
    </row>
    <row r="169" spans="1:18">
      <c r="A169" s="2"/>
      <c r="B169" s="100" t="s">
        <v>193</v>
      </c>
      <c r="C169" s="45">
        <f>ROUND(Q171/Q173,3)</f>
        <v>0.64600000000000002</v>
      </c>
      <c r="D169" s="45">
        <f>ROUND(R171/R173,3)</f>
        <v>0.66100000000000003</v>
      </c>
      <c r="G169" s="282"/>
      <c r="H169" s="283"/>
      <c r="I169" s="283"/>
      <c r="J169" s="100"/>
      <c r="K169" s="262"/>
      <c r="N169" s="11" t="s">
        <v>194</v>
      </c>
      <c r="P169" s="8" t="s">
        <v>195</v>
      </c>
    </row>
    <row r="170" spans="1:18">
      <c r="A170" s="2"/>
      <c r="B170" s="100" t="s">
        <v>196</v>
      </c>
      <c r="C170" s="45">
        <f>1-C169</f>
        <v>0.35399999999999998</v>
      </c>
      <c r="D170" s="45">
        <f>1-D169</f>
        <v>0.33899999999999997</v>
      </c>
      <c r="F170" s="8"/>
      <c r="H170" s="8"/>
      <c r="I170" s="8"/>
      <c r="J170" s="100"/>
      <c r="K170" s="262"/>
      <c r="N170" s="97"/>
      <c r="Q170" s="1" t="s">
        <v>8</v>
      </c>
      <c r="R170" s="1" t="s">
        <v>9</v>
      </c>
    </row>
    <row r="171" spans="1:18">
      <c r="A171" s="2"/>
      <c r="F171" s="8"/>
      <c r="H171" s="8"/>
      <c r="I171" s="8"/>
      <c r="J171" s="100"/>
      <c r="K171" s="262"/>
      <c r="P171" s="1" t="s">
        <v>197</v>
      </c>
      <c r="Q171" s="452">
        <v>3528124</v>
      </c>
      <c r="R171" s="452">
        <v>19973</v>
      </c>
    </row>
    <row r="172" spans="1:18">
      <c r="A172" s="2"/>
      <c r="B172" s="100" t="s">
        <v>71</v>
      </c>
      <c r="C172" s="244">
        <f>Inputs!C119</f>
        <v>0.86519999999999975</v>
      </c>
      <c r="D172" s="244">
        <f>Inputs!D119</f>
        <v>1.1569000000000003</v>
      </c>
      <c r="E172" s="8" t="s">
        <v>72</v>
      </c>
      <c r="F172" s="107" t="s">
        <v>198</v>
      </c>
      <c r="I172" s="8"/>
      <c r="J172" s="100"/>
      <c r="K172" s="262"/>
      <c r="P172" s="1" t="s">
        <v>199</v>
      </c>
      <c r="Q172" s="453">
        <v>1931618</v>
      </c>
      <c r="R172" s="453">
        <v>10227</v>
      </c>
    </row>
    <row r="173" spans="1:18">
      <c r="A173" s="2"/>
      <c r="F173" s="8"/>
      <c r="H173" s="8"/>
      <c r="I173" s="8"/>
      <c r="J173" s="100"/>
      <c r="K173" s="262"/>
      <c r="P173" s="1" t="s">
        <v>200</v>
      </c>
      <c r="Q173" s="452">
        <f>SUM(Q171:Q172)</f>
        <v>5459742</v>
      </c>
      <c r="R173" s="452">
        <f>SUM(R171:R172)</f>
        <v>30200</v>
      </c>
    </row>
    <row r="174" spans="1:18">
      <c r="A174" s="2" t="s">
        <v>74</v>
      </c>
      <c r="B174" s="10" t="s">
        <v>75</v>
      </c>
      <c r="D174" s="274"/>
      <c r="F174" s="8"/>
      <c r="H174" s="8"/>
      <c r="I174" s="8"/>
      <c r="J174" s="100"/>
      <c r="K174" s="262"/>
      <c r="Q174" s="284"/>
      <c r="R174" s="284"/>
    </row>
    <row r="175" spans="1:18">
      <c r="A175" s="1"/>
      <c r="B175" s="6" t="s">
        <v>76</v>
      </c>
      <c r="C175" s="8"/>
      <c r="D175" s="274">
        <f>+Inputs!D123</f>
        <v>2</v>
      </c>
      <c r="E175" s="8"/>
      <c r="F175" s="8"/>
      <c r="G175" s="8"/>
      <c r="H175" s="8"/>
      <c r="I175" s="8"/>
      <c r="J175" s="8"/>
    </row>
    <row r="176" spans="1:18">
      <c r="A176" s="2"/>
      <c r="B176" s="6" t="s">
        <v>78</v>
      </c>
      <c r="D176" s="274">
        <f>+Inputs!D124</f>
        <v>18.02</v>
      </c>
      <c r="I176" s="8"/>
      <c r="J176" s="8"/>
    </row>
    <row r="177" spans="1:13">
      <c r="A177" s="14"/>
      <c r="B177" s="6" t="s">
        <v>201</v>
      </c>
      <c r="D177" s="263">
        <f>SUM(D175:D176)</f>
        <v>20.02</v>
      </c>
      <c r="E177" s="109" t="s">
        <v>77</v>
      </c>
    </row>
    <row r="178" spans="1:13">
      <c r="A178" s="14"/>
      <c r="B178" s="11"/>
      <c r="F178" s="109"/>
    </row>
    <row r="179" spans="1:13">
      <c r="A179" s="14"/>
      <c r="B179" s="10"/>
      <c r="E179" s="285"/>
      <c r="F179" s="109"/>
    </row>
    <row r="180" spans="1:13">
      <c r="A180" s="2" t="s">
        <v>202</v>
      </c>
      <c r="B180" s="10" t="s">
        <v>203</v>
      </c>
    </row>
    <row r="181" spans="1:13">
      <c r="A181" s="2"/>
      <c r="B181" s="10"/>
    </row>
    <row r="182" spans="1:13">
      <c r="A182" s="2"/>
      <c r="B182" s="10"/>
      <c r="C182" s="5" t="str">
        <f t="shared" ref="C182:J182" si="50">+C7</f>
        <v>RS</v>
      </c>
      <c r="D182" s="5" t="str">
        <f t="shared" si="50"/>
        <v>RHS</v>
      </c>
      <c r="E182" s="5" t="str">
        <f t="shared" si="50"/>
        <v>RLM</v>
      </c>
      <c r="F182" s="5" t="str">
        <f t="shared" si="50"/>
        <v>WH</v>
      </c>
      <c r="G182" s="5" t="str">
        <f t="shared" si="50"/>
        <v>WHS</v>
      </c>
      <c r="H182" s="5" t="str">
        <f t="shared" si="50"/>
        <v>HS</v>
      </c>
      <c r="I182" s="5" t="str">
        <f t="shared" si="50"/>
        <v>PSAL</v>
      </c>
      <c r="J182" s="5" t="str">
        <f t="shared" si="50"/>
        <v>BPL</v>
      </c>
    </row>
    <row r="183" spans="1:13">
      <c r="A183" s="2"/>
      <c r="B183" s="10"/>
    </row>
    <row r="184" spans="1:13">
      <c r="A184" s="14"/>
      <c r="B184" s="94" t="s">
        <v>204</v>
      </c>
      <c r="C184" s="280">
        <f>(+$D$161*C155*$H$160/12)/C57</f>
        <v>0</v>
      </c>
      <c r="D184" s="280">
        <f>(+$D$161*D155*$H$160/12)/D57</f>
        <v>0</v>
      </c>
      <c r="E184" s="280">
        <f>(+$D$161*E155*$H$160/12)/SUMPRODUCT(E27:E38,E45:E56)</f>
        <v>0</v>
      </c>
      <c r="F184" s="280">
        <f>(+$D$161*F155*$H$160/12)/F57</f>
        <v>0</v>
      </c>
      <c r="G184" s="280">
        <f>(+$D$161*G155*$H$160/12)/G57</f>
        <v>0</v>
      </c>
      <c r="H184" s="280">
        <f>(+$D$161*H155*$H$160/12)/H57</f>
        <v>0</v>
      </c>
      <c r="I184" s="280">
        <f>(+$D$161*I155*$H$160/12)/I57</f>
        <v>0</v>
      </c>
      <c r="J184" s="280">
        <f>(+$D$161*J155*$H$160/12)/J57</f>
        <v>0</v>
      </c>
      <c r="K184" s="280"/>
      <c r="L184" s="280"/>
      <c r="M184" s="280"/>
    </row>
    <row r="185" spans="1:13">
      <c r="A185" s="14"/>
      <c r="B185" s="94"/>
      <c r="C185" s="280"/>
      <c r="D185" s="280"/>
      <c r="E185" s="280"/>
      <c r="F185" s="280"/>
      <c r="G185" s="280"/>
      <c r="H185" s="280"/>
      <c r="I185" s="280"/>
      <c r="J185" s="280"/>
      <c r="K185" s="280"/>
      <c r="L185" s="280"/>
      <c r="M185" s="280"/>
    </row>
    <row r="186" spans="1:13">
      <c r="A186" s="14"/>
      <c r="B186" s="94" t="s">
        <v>205</v>
      </c>
      <c r="K186" s="280"/>
      <c r="L186" s="280"/>
      <c r="M186" s="280"/>
    </row>
    <row r="187" spans="1:13">
      <c r="A187" s="2"/>
      <c r="B187" s="100" t="s">
        <v>206</v>
      </c>
      <c r="C187" s="260">
        <f>((+$Q$166*C153*1000)/C57)</f>
        <v>39.432179194101032</v>
      </c>
      <c r="D187" s="260">
        <f>((+$Q$166*D153*1000)/D57)</f>
        <v>20.554026441998086</v>
      </c>
      <c r="E187" s="260">
        <f>(+$Q$166*E153*1000)/SUMPRODUCT(E45:E56,E27:E38)</f>
        <v>99.318569083527095</v>
      </c>
      <c r="F187" s="260">
        <f>((+$Q$166*F153*1000)/F57)</f>
        <v>0</v>
      </c>
      <c r="G187" s="260">
        <f>((+$Q$166*G153*1000)/G57)</f>
        <v>0</v>
      </c>
      <c r="H187" s="260">
        <f>((+$Q$166*H153*1000)/H57)</f>
        <v>18.221530118572584</v>
      </c>
      <c r="I187" s="260">
        <f>((+$Q$166*I153*1000)/I57)</f>
        <v>0</v>
      </c>
      <c r="J187" s="260">
        <f>((+$Q$166*J153*1000)/J57)</f>
        <v>0</v>
      </c>
      <c r="K187" s="280"/>
      <c r="L187" s="280"/>
      <c r="M187" s="280"/>
    </row>
    <row r="188" spans="1:13">
      <c r="A188" s="14"/>
      <c r="B188" s="94" t="s">
        <v>207</v>
      </c>
      <c r="C188" s="286">
        <f>(C153*$F$164*$E$158)/SUM(C50:C53)</f>
        <v>31.580956158112478</v>
      </c>
      <c r="D188" s="286">
        <f>(D153*$F$164*$E$158)/SUM(D50:D53)</f>
        <v>31.378576651346062</v>
      </c>
      <c r="E188" s="286">
        <f>(E153*$F$164*$E$158)/SUMPRODUCT(E50:E53,E32:E35)</f>
        <v>70.113449309834706</v>
      </c>
      <c r="F188" s="286">
        <f>(F153*$F$164*$E$158)/SUM(F50:F53)</f>
        <v>0</v>
      </c>
      <c r="G188" s="286">
        <f>(G153*$F$164*$E$158)/SUM(G50:G53)</f>
        <v>0</v>
      </c>
      <c r="H188" s="286">
        <f>(H153*$F$164*$E$158)/SUM(H50:H53)</f>
        <v>26.248880677409449</v>
      </c>
      <c r="I188" s="286">
        <f>(I153*$F$164*$E$158)/SUM(I50:I53)</f>
        <v>0</v>
      </c>
      <c r="J188" s="286">
        <f>(J153*$F$164*$E$158)/SUM(J50:J53)</f>
        <v>0</v>
      </c>
      <c r="K188" s="280"/>
      <c r="L188" s="280"/>
      <c r="M188" s="280"/>
    </row>
    <row r="189" spans="1:13">
      <c r="A189" s="14"/>
      <c r="B189" s="94" t="s">
        <v>208</v>
      </c>
      <c r="C189" s="280">
        <f>(C153*$F$165*$E$159)/SUM(C45:C49,C54:C56)</f>
        <v>45.055804046578309</v>
      </c>
      <c r="D189" s="280">
        <f>(D153*$F$165*$E$159)/SUM(D45:D49,D54:D56)</f>
        <v>17.519732516193557</v>
      </c>
      <c r="E189" s="280">
        <f>(E153*$F$165*$E$159)/(SUMPRODUCT(E45:E49,E27:E31)+SUMPRODUCT(E54:E56,E36:E38))</f>
        <v>125.58101754987266</v>
      </c>
      <c r="F189" s="280">
        <f>(F153*$F$165*$E$159)/SUM(F45:F49,F54:F56)</f>
        <v>0</v>
      </c>
      <c r="G189" s="280">
        <f>(G153*$F$165*$E$159)/SUM(G45:G49,G54:G56)</f>
        <v>0</v>
      </c>
      <c r="H189" s="280">
        <f>(H153*$F$165*$E$159)/SUM(H45:H49,H54:H56)</f>
        <v>15.796215678260902</v>
      </c>
      <c r="I189" s="280">
        <f>(I153*$F$165*$E$159)/SUM(I45:I49,I54:I56)</f>
        <v>0</v>
      </c>
      <c r="J189" s="280">
        <f>(J153*$F$165*$E$159)/SUM(J45:J49,J54:J56)</f>
        <v>0</v>
      </c>
      <c r="K189" s="280"/>
      <c r="L189" s="280"/>
      <c r="M189" s="280"/>
    </row>
    <row r="190" spans="1:13">
      <c r="A190" s="14"/>
      <c r="E190" s="287" t="s">
        <v>209</v>
      </c>
      <c r="F190" s="280"/>
      <c r="G190" s="280"/>
      <c r="H190" s="280"/>
      <c r="K190" s="280"/>
      <c r="L190" s="280"/>
      <c r="M190" s="280"/>
    </row>
    <row r="191" spans="1:13">
      <c r="A191" s="14"/>
      <c r="E191" s="287" t="s">
        <v>210</v>
      </c>
      <c r="F191" s="280"/>
      <c r="G191" s="280"/>
      <c r="H191" s="280"/>
      <c r="K191" s="280"/>
      <c r="L191" s="280"/>
      <c r="M191" s="280"/>
    </row>
    <row r="192" spans="1:13">
      <c r="A192" s="14"/>
    </row>
    <row r="193" spans="1:11">
      <c r="A193" s="2" t="s">
        <v>211</v>
      </c>
      <c r="B193" s="10" t="s">
        <v>212</v>
      </c>
    </row>
    <row r="194" spans="1:11">
      <c r="A194" s="14"/>
      <c r="B194" s="10"/>
      <c r="K194" s="288"/>
    </row>
    <row r="195" spans="1:11">
      <c r="A195" s="14"/>
      <c r="B195" s="10" t="s">
        <v>213</v>
      </c>
    </row>
    <row r="196" spans="1:11">
      <c r="A196" s="14"/>
      <c r="B196" s="11" t="s">
        <v>214</v>
      </c>
    </row>
    <row r="197" spans="1:11">
      <c r="A197" s="14"/>
      <c r="B197" s="11" t="s">
        <v>148</v>
      </c>
    </row>
    <row r="198" spans="1:11">
      <c r="A198" s="14"/>
      <c r="C198" s="5" t="str">
        <f t="shared" ref="C198:J198" si="51">+C7</f>
        <v>RS</v>
      </c>
      <c r="D198" s="5" t="str">
        <f t="shared" si="51"/>
        <v>RHS</v>
      </c>
      <c r="E198" s="5" t="str">
        <f t="shared" si="51"/>
        <v>RLM</v>
      </c>
      <c r="F198" s="5" t="str">
        <f t="shared" si="51"/>
        <v>WH</v>
      </c>
      <c r="G198" s="5" t="str">
        <f t="shared" si="51"/>
        <v>WHS</v>
      </c>
      <c r="H198" s="5" t="str">
        <f t="shared" si="51"/>
        <v>HS</v>
      </c>
      <c r="I198" s="5" t="str">
        <f t="shared" si="51"/>
        <v>PSAL</v>
      </c>
      <c r="J198" s="5" t="str">
        <f t="shared" si="51"/>
        <v>BPL</v>
      </c>
    </row>
    <row r="199" spans="1:11">
      <c r="A199" s="14"/>
      <c r="C199" s="5"/>
      <c r="D199" s="5"/>
      <c r="E199" s="260"/>
      <c r="F199" s="5"/>
      <c r="G199" s="5"/>
    </row>
    <row r="200" spans="1:11">
      <c r="A200" s="14"/>
      <c r="B200" s="31" t="s">
        <v>149</v>
      </c>
      <c r="C200" s="260">
        <f>+C136+($D$177*C80)+C$184+C187</f>
        <v>113.71061188790571</v>
      </c>
      <c r="D200" s="260">
        <f>+D136+($D$177*D80)+D$184+D187</f>
        <v>95.158194317759907</v>
      </c>
      <c r="E200" s="260"/>
      <c r="F200" s="260">
        <f>+F136+($D$177*F80)+F$184+F187</f>
        <v>72.00503361846107</v>
      </c>
      <c r="G200" s="260">
        <f>+G136+($D$177*G80)+G$184+G187</f>
        <v>66.025653945950239</v>
      </c>
      <c r="H200" s="260">
        <f>+H136+($D$177*H80)+H$184+H187</f>
        <v>92.215039019789103</v>
      </c>
      <c r="I200" s="260">
        <f>+I136+($D$177*I80)+I$184+I187</f>
        <v>64.897259658413731</v>
      </c>
      <c r="J200" s="260">
        <f>+J136+($D$177*J80)+J$184+J187</f>
        <v>64.83818568107759</v>
      </c>
      <c r="K200" s="260"/>
    </row>
    <row r="201" spans="1:11">
      <c r="A201" s="14"/>
      <c r="B201" s="261" t="s">
        <v>169</v>
      </c>
      <c r="C201" s="260"/>
      <c r="D201" s="260"/>
      <c r="E201" s="260">
        <f>+E137+($D$177*E80)+E$184+E187</f>
        <v>186.83236561478157</v>
      </c>
      <c r="F201" s="260"/>
      <c r="G201" s="260"/>
      <c r="H201" s="260"/>
      <c r="I201" s="260"/>
      <c r="J201" s="260"/>
    </row>
    <row r="202" spans="1:11">
      <c r="A202" s="14"/>
      <c r="B202" s="261" t="s">
        <v>170</v>
      </c>
      <c r="C202" s="260"/>
      <c r="D202" s="260"/>
      <c r="E202" s="260">
        <f>+E138+($D$177*E80)</f>
        <v>61.617125735447971</v>
      </c>
      <c r="F202" s="260"/>
      <c r="G202" s="260"/>
      <c r="H202" s="260"/>
      <c r="I202" s="260"/>
      <c r="J202" s="260"/>
    </row>
    <row r="203" spans="1:11">
      <c r="A203" s="14"/>
      <c r="B203" s="100" t="s">
        <v>193</v>
      </c>
      <c r="C203" s="260">
        <f>(C200*SUM(C50:C53)-C172*10*C170*SUM(C50:C53))/SUM(C50:C53)</f>
        <v>110.64780388790572</v>
      </c>
      <c r="D203" s="260">
        <f>(D200*SUM(D50:D53)-D172*10*D170*SUM(D50:D53))/SUM(D50:D53)</f>
        <v>91.236303317759905</v>
      </c>
      <c r="E203" s="260"/>
      <c r="F203" s="260"/>
      <c r="G203" s="260"/>
      <c r="H203" s="260"/>
      <c r="I203" s="260"/>
      <c r="J203" s="260"/>
    </row>
    <row r="204" spans="1:11">
      <c r="A204" s="14"/>
      <c r="B204" s="100" t="s">
        <v>215</v>
      </c>
      <c r="C204" s="260">
        <f>+C203+C172*10</f>
        <v>119.29980388790572</v>
      </c>
      <c r="D204" s="260">
        <f>+D203+D172*10</f>
        <v>102.80530331775991</v>
      </c>
      <c r="E204" s="260"/>
      <c r="F204" s="260"/>
      <c r="G204" s="260"/>
      <c r="H204" s="260"/>
      <c r="I204" s="260"/>
      <c r="J204" s="260"/>
    </row>
    <row r="205" spans="1:11">
      <c r="A205" s="14"/>
      <c r="C205" s="260"/>
      <c r="D205" s="260"/>
      <c r="E205" s="260"/>
      <c r="F205" s="260"/>
      <c r="G205" s="260"/>
      <c r="H205" s="260"/>
      <c r="I205" s="260"/>
      <c r="J205" s="260"/>
    </row>
    <row r="206" spans="1:11">
      <c r="A206" s="14"/>
      <c r="B206" s="31" t="s">
        <v>152</v>
      </c>
      <c r="C206" s="260">
        <f>+C140+($D$177*C80)+C$184+C187</f>
        <v>116.18676039476347</v>
      </c>
      <c r="D206" s="260">
        <f>+D140+($D$177*D80)+D$184+D187</f>
        <v>99.739124723723691</v>
      </c>
      <c r="E206" s="260"/>
      <c r="F206" s="260">
        <f>+F140+($D$177*F80)+F$184+F187</f>
        <v>75.943798150982673</v>
      </c>
      <c r="G206" s="260">
        <f>+G140+($D$177*G80)+G$184+G187</f>
        <v>76.194289602479074</v>
      </c>
      <c r="H206" s="260">
        <f>+H140+($D$177*H80)+H$184+H187</f>
        <v>97.420452144661397</v>
      </c>
      <c r="I206" s="260">
        <f>+I140+($D$177*I80)+I$184+I187</f>
        <v>75.040292654833863</v>
      </c>
      <c r="J206" s="260">
        <f>+J140+($D$177*J80)+J$184+J187</f>
        <v>74.749854635612166</v>
      </c>
      <c r="K206" s="260"/>
    </row>
    <row r="207" spans="1:11">
      <c r="A207" s="14"/>
      <c r="B207" s="261" t="s">
        <v>169</v>
      </c>
      <c r="C207" s="260"/>
      <c r="D207" s="260"/>
      <c r="E207" s="260">
        <f>+E141+($D$177*E80)+E$184+E187</f>
        <v>180.96087691396059</v>
      </c>
      <c r="F207" s="260"/>
      <c r="G207" s="260"/>
      <c r="H207" s="260"/>
      <c r="I207" s="260"/>
      <c r="J207" s="260"/>
    </row>
    <row r="208" spans="1:11">
      <c r="A208" s="14"/>
      <c r="B208" s="261" t="s">
        <v>170</v>
      </c>
      <c r="C208" s="260"/>
      <c r="D208" s="260"/>
      <c r="E208" s="260">
        <f>+E142+($D$177*E80)</f>
        <v>72.735660018088595</v>
      </c>
      <c r="F208" s="260"/>
      <c r="G208" s="260"/>
      <c r="H208" s="260"/>
      <c r="I208" s="260"/>
      <c r="J208" s="260"/>
    </row>
    <row r="209" spans="1:15">
      <c r="A209" s="14"/>
      <c r="C209" s="260"/>
      <c r="D209" s="260"/>
      <c r="E209" s="260"/>
      <c r="F209" s="260"/>
      <c r="G209" s="260"/>
      <c r="H209" s="260"/>
      <c r="I209" s="260"/>
      <c r="J209" s="260"/>
    </row>
    <row r="210" spans="1:15">
      <c r="A210" s="14"/>
      <c r="B210" s="1" t="s">
        <v>216</v>
      </c>
      <c r="C210" s="260">
        <f>+C144+($D$177*C80)+C$184+C187</f>
        <v>115.15335872694138</v>
      </c>
      <c r="D210" s="260">
        <f>+D144+($D$177*D80)+D$184+D187</f>
        <v>98.736163064742854</v>
      </c>
      <c r="E210" s="260">
        <f>((E201*SUMPRODUCT(E32:E35,E50:E53)+E202*SUMPRODUCT(Q32:Q35,E50:E53))+(E207*(SUMPRODUCT(E27:E31,E45:E49)+SUMPRODUCT(E36:E38,E54:E56))+E208*(SUMPRODUCT(Q27:Q31,E45:E49)+SUMPRODUCT(Q36:Q38,E54:E56))))/E57</f>
        <v>119.97987526214968</v>
      </c>
      <c r="F210" s="260">
        <f>+F144+($D$177*F80)+F$184+F187</f>
        <v>74.828096609581706</v>
      </c>
      <c r="G210" s="260">
        <f>+G144+($D$177*G80)+G$184+G187</f>
        <v>74.92321014541298</v>
      </c>
      <c r="H210" s="260">
        <f>+H144+($D$177*H80)+H$184+H187</f>
        <v>96.212648812155365</v>
      </c>
      <c r="I210" s="260">
        <f>+I144+($D$177*I80)+I$184+I187</f>
        <v>72.240945046164796</v>
      </c>
      <c r="J210" s="260">
        <f>+J144+($D$177*J80)+J$184+J187</f>
        <v>72.112194572939217</v>
      </c>
      <c r="K210" s="260"/>
    </row>
    <row r="211" spans="1:15">
      <c r="A211" s="14"/>
      <c r="C211" s="260"/>
      <c r="D211" s="260"/>
      <c r="E211" s="260"/>
      <c r="F211" s="260"/>
      <c r="G211" s="260"/>
      <c r="H211" s="260"/>
      <c r="I211" s="260"/>
      <c r="J211" s="260"/>
      <c r="K211" s="260"/>
    </row>
    <row r="212" spans="1:15">
      <c r="A212" s="14"/>
      <c r="B212" s="10" t="s">
        <v>217</v>
      </c>
    </row>
    <row r="213" spans="1:15">
      <c r="A213" s="14"/>
      <c r="B213" s="11" t="s">
        <v>218</v>
      </c>
    </row>
    <row r="214" spans="1:15">
      <c r="A214" s="14"/>
      <c r="B214" s="11" t="s">
        <v>148</v>
      </c>
    </row>
    <row r="215" spans="1:15">
      <c r="A215" s="14"/>
      <c r="C215" s="5" t="str">
        <f>+K7</f>
        <v>GLP</v>
      </c>
      <c r="D215" s="5" t="str">
        <f>+L7</f>
        <v>LPL-S</v>
      </c>
      <c r="E215" s="5"/>
      <c r="H215" s="10" t="s">
        <v>219</v>
      </c>
      <c r="I215" s="5" t="str">
        <f>+C215</f>
        <v>GLP</v>
      </c>
      <c r="J215" s="5" t="str">
        <f>+D215</f>
        <v>LPL-S</v>
      </c>
    </row>
    <row r="216" spans="1:15">
      <c r="A216" s="14"/>
      <c r="C216" s="5"/>
      <c r="D216" s="5"/>
      <c r="F216" s="10"/>
    </row>
    <row r="217" spans="1:15">
      <c r="A217" s="14"/>
      <c r="B217" s="31" t="s">
        <v>149</v>
      </c>
      <c r="C217" s="260">
        <f>+K136+($D$177*K80)</f>
        <v>74.615502549337293</v>
      </c>
      <c r="D217" s="260">
        <f>+L136+($D$177*L$80)</f>
        <v>73.794833472330282</v>
      </c>
      <c r="E217" s="122"/>
      <c r="H217" s="289" t="s">
        <v>220</v>
      </c>
    </row>
    <row r="218" spans="1:15">
      <c r="A218" s="14"/>
      <c r="B218" s="261" t="s">
        <v>169</v>
      </c>
      <c r="C218" s="260"/>
      <c r="D218" s="260">
        <f>+L137+($D$177*L$80)</f>
        <v>86.83756886276143</v>
      </c>
      <c r="H218" s="94" t="s">
        <v>221</v>
      </c>
      <c r="I218" s="290">
        <f>+$F164*$E158/$H158/1000</f>
        <v>10.047615</v>
      </c>
      <c r="J218" s="290">
        <f>+$F164*$E158/$H158/1000</f>
        <v>10.047615</v>
      </c>
      <c r="K218" s="109" t="s">
        <v>222</v>
      </c>
      <c r="O218" s="214"/>
    </row>
    <row r="219" spans="1:15">
      <c r="A219" s="14"/>
      <c r="B219" s="261" t="s">
        <v>170</v>
      </c>
      <c r="C219" s="260"/>
      <c r="D219" s="260">
        <f>+L138+($D$177*L$80)</f>
        <v>61.478176602747673</v>
      </c>
      <c r="H219" s="94" t="s">
        <v>223</v>
      </c>
      <c r="I219" s="290">
        <f>+$F165*$E159/$H159/1000</f>
        <v>10.00643625</v>
      </c>
      <c r="J219" s="290">
        <f>+$F165*$E159/$H159/1000</f>
        <v>10.00643625</v>
      </c>
      <c r="K219" s="109" t="s">
        <v>222</v>
      </c>
    </row>
    <row r="220" spans="1:15">
      <c r="A220" s="14"/>
      <c r="C220" s="260"/>
      <c r="D220" s="260"/>
      <c r="H220" s="94" t="s">
        <v>224</v>
      </c>
      <c r="I220" s="290">
        <f>($F$164*$E$158+$F$165*$E$159)/$H$160/1000</f>
        <v>10.0201625</v>
      </c>
      <c r="J220" s="290">
        <f>($F$164*$E$158+$F$165*$E$159)/$H$160/1000</f>
        <v>10.0201625</v>
      </c>
      <c r="K220" s="109" t="s">
        <v>222</v>
      </c>
    </row>
    <row r="221" spans="1:15">
      <c r="A221" s="14"/>
      <c r="B221" s="31" t="s">
        <v>152</v>
      </c>
      <c r="C221" s="260">
        <f>+K140+($D$177*K80)</f>
        <v>76.436188065516291</v>
      </c>
      <c r="D221" s="260">
        <f>+L140+($D$177*L$80)</f>
        <v>76.084089812695453</v>
      </c>
    </row>
    <row r="222" spans="1:15">
      <c r="A222" s="14"/>
      <c r="B222" s="261" t="s">
        <v>169</v>
      </c>
      <c r="C222" s="260"/>
      <c r="D222" s="260">
        <f>+L141+($D$177*L$80)</f>
        <v>80.51941331501618</v>
      </c>
      <c r="H222" s="289" t="s">
        <v>225</v>
      </c>
      <c r="I222" s="213"/>
      <c r="J222" s="213"/>
      <c r="K222" s="109"/>
    </row>
    <row r="223" spans="1:15">
      <c r="A223" s="14"/>
      <c r="B223" s="261" t="s">
        <v>170</v>
      </c>
      <c r="C223" s="260"/>
      <c r="D223" s="260">
        <f>+L142+($D$177*L$80)</f>
        <v>72.10584350104449</v>
      </c>
      <c r="H223" s="94" t="s">
        <v>226</v>
      </c>
      <c r="I223" s="290">
        <f>+$D161/1000/12</f>
        <v>0</v>
      </c>
      <c r="J223" s="290">
        <f>+$D161/1000/12</f>
        <v>0</v>
      </c>
      <c r="K223" s="109" t="s">
        <v>227</v>
      </c>
    </row>
    <row r="224" spans="1:15">
      <c r="A224" s="14"/>
      <c r="B224" s="261"/>
      <c r="C224" s="260"/>
      <c r="D224" s="260"/>
    </row>
    <row r="225" spans="1:7">
      <c r="A225" s="14"/>
      <c r="B225" s="1" t="s">
        <v>228</v>
      </c>
      <c r="C225" s="260">
        <f>+K144+($D$177*K80)</f>
        <v>75.777590682618239</v>
      </c>
      <c r="D225" s="260">
        <f>+L144+($D$177*L$80)</f>
        <v>75.263896603872581</v>
      </c>
    </row>
    <row r="226" spans="1:7">
      <c r="A226" s="14"/>
      <c r="C226" s="260"/>
      <c r="D226" s="260"/>
    </row>
    <row r="227" spans="1:7">
      <c r="A227" s="14"/>
      <c r="B227" s="291" t="s">
        <v>229</v>
      </c>
      <c r="C227" s="260"/>
      <c r="D227" s="260"/>
    </row>
    <row r="228" spans="1:7">
      <c r="A228" s="14"/>
      <c r="B228" s="31" t="s">
        <v>149</v>
      </c>
      <c r="C228" s="260">
        <f>(C217*W49+((I220*$H158)*K153*1000)+(I223*$H158*K155*1000))/W49</f>
        <v>101.12179223780257</v>
      </c>
      <c r="D228" s="260">
        <f>(D217*X49+((J220*$H158)*L153*1000)+(J223*$H158*L155*1000))/X49</f>
        <v>94.36187065903944</v>
      </c>
      <c r="F228" s="1" t="s">
        <v>230</v>
      </c>
    </row>
    <row r="229" spans="1:7">
      <c r="A229" s="14"/>
      <c r="B229" s="261" t="s">
        <v>169</v>
      </c>
      <c r="C229" s="260"/>
      <c r="D229" s="260">
        <f>(D218*X50+((J220*$H158)*L153*1000)+(J223*$H158*L155*1000))/X50</f>
        <v>129.18408944596601</v>
      </c>
    </row>
    <row r="230" spans="1:7">
      <c r="A230" s="14"/>
      <c r="B230" s="261" t="s">
        <v>170</v>
      </c>
      <c r="C230" s="260"/>
      <c r="D230" s="260">
        <f>+D219</f>
        <v>61.478176602747673</v>
      </c>
    </row>
    <row r="231" spans="1:7">
      <c r="A231" s="14"/>
      <c r="C231" s="260"/>
      <c r="D231" s="260"/>
    </row>
    <row r="232" spans="1:7">
      <c r="A232" s="14"/>
      <c r="B232" s="31" t="s">
        <v>152</v>
      </c>
      <c r="C232" s="260">
        <f>(C221*W45+((I220*$H159)*K153*1000)+(I223*$H159*K155*1000))/W45</f>
        <v>106.48033449333366</v>
      </c>
      <c r="D232" s="260">
        <f>(D221*X45+((J220*$H159)*L153*1000)+(J223*$H159*L155*1000))/X45</f>
        <v>99.049670888080016</v>
      </c>
    </row>
    <row r="233" spans="1:7">
      <c r="A233" s="14"/>
      <c r="B233" s="261" t="s">
        <v>169</v>
      </c>
      <c r="C233" s="260"/>
      <c r="D233" s="260">
        <f>(D222*X46+((J220*$H159)*L153*1000)+(J223*$H159*L155*1000))/X46</f>
        <v>129.08918616449759</v>
      </c>
    </row>
    <row r="234" spans="1:7">
      <c r="A234" s="14"/>
      <c r="B234" s="261" t="s">
        <v>170</v>
      </c>
      <c r="C234" s="260"/>
      <c r="D234" s="260">
        <f>+D223</f>
        <v>72.10584350104449</v>
      </c>
    </row>
    <row r="235" spans="1:7">
      <c r="A235" s="14"/>
      <c r="B235" s="261"/>
      <c r="C235" s="260"/>
      <c r="D235" s="260"/>
    </row>
    <row r="236" spans="1:7">
      <c r="A236" s="14"/>
      <c r="B236" s="8" t="s">
        <v>231</v>
      </c>
      <c r="C236" s="260">
        <f>(C225*K57+((I220*$H158+I220*$H159)*K153*1000)+(I223*$H160*K155*1000))/K57</f>
        <v>104.54198661596502</v>
      </c>
      <c r="D236" s="260">
        <f>(D225*L57+((J220*$H158+J220*$H159)*L153*1000)+(J223*$H160*L155*1000))/L57</f>
        <v>97.370129001755444</v>
      </c>
    </row>
    <row r="237" spans="1:7">
      <c r="A237" s="14"/>
      <c r="C237" s="264"/>
      <c r="D237" s="264"/>
    </row>
    <row r="238" spans="1:7">
      <c r="A238" s="14"/>
      <c r="B238" s="10" t="s">
        <v>232</v>
      </c>
      <c r="C238" s="260"/>
      <c r="D238" s="260"/>
    </row>
    <row r="239" spans="1:7">
      <c r="A239" s="14"/>
      <c r="B239" s="94" t="s">
        <v>233</v>
      </c>
      <c r="C239" s="268">
        <f>(+SUMPRODUCT(C210:J210,C57:J57)+SUMPRODUCT(C236:D236,K57:L57))/1000</f>
        <v>2737685.4186390676</v>
      </c>
      <c r="G239" s="206"/>
    </row>
    <row r="240" spans="1:7">
      <c r="A240" s="14"/>
      <c r="C240" s="94" t="s">
        <v>234</v>
      </c>
      <c r="D240" s="280">
        <f>+C239/SUM(C57:L57)*1000</f>
        <v>108.23342175363021</v>
      </c>
      <c r="E240" s="1" t="s">
        <v>235</v>
      </c>
    </row>
    <row r="241" spans="1:13">
      <c r="A241" s="14"/>
      <c r="C241" s="94" t="s">
        <v>236</v>
      </c>
      <c r="D241" s="280">
        <f>+C239/SUMPRODUCT(C57:L57,C85:L85)*1000</f>
        <v>102.87213743886623</v>
      </c>
      <c r="E241" s="1" t="s">
        <v>237</v>
      </c>
    </row>
    <row r="242" spans="1:13">
      <c r="A242" s="14"/>
    </row>
    <row r="243" spans="1:13">
      <c r="A243" s="14"/>
      <c r="E243" s="213"/>
    </row>
    <row r="244" spans="1:13">
      <c r="A244" s="2" t="s">
        <v>238</v>
      </c>
      <c r="B244" s="10" t="s">
        <v>239</v>
      </c>
    </row>
    <row r="245" spans="1:13">
      <c r="A245" s="14"/>
      <c r="B245" s="10"/>
    </row>
    <row r="246" spans="1:13">
      <c r="A246" s="14"/>
      <c r="B246" s="10" t="s">
        <v>213</v>
      </c>
    </row>
    <row r="247" spans="1:13">
      <c r="A247" s="14"/>
      <c r="B247" s="11" t="s">
        <v>214</v>
      </c>
    </row>
    <row r="248" spans="1:13">
      <c r="A248" s="14"/>
      <c r="B248" s="10"/>
    </row>
    <row r="249" spans="1:13">
      <c r="A249" s="14"/>
      <c r="C249" s="5" t="str">
        <f t="shared" ref="C249:J249" si="52">+C7</f>
        <v>RS</v>
      </c>
      <c r="D249" s="5" t="str">
        <f t="shared" si="52"/>
        <v>RHS</v>
      </c>
      <c r="E249" s="5" t="str">
        <f t="shared" si="52"/>
        <v>RLM</v>
      </c>
      <c r="F249" s="5" t="str">
        <f t="shared" si="52"/>
        <v>WH</v>
      </c>
      <c r="G249" s="5" t="str">
        <f t="shared" si="52"/>
        <v>WHS</v>
      </c>
      <c r="H249" s="5" t="str">
        <f t="shared" si="52"/>
        <v>HS</v>
      </c>
      <c r="I249" s="5" t="str">
        <f t="shared" si="52"/>
        <v>PSAL</v>
      </c>
      <c r="J249" s="5" t="str">
        <f t="shared" si="52"/>
        <v>BPL</v>
      </c>
    </row>
    <row r="250" spans="1:13">
      <c r="A250" s="14"/>
      <c r="C250" s="5"/>
      <c r="D250" s="5"/>
      <c r="E250" s="5"/>
      <c r="F250" s="5"/>
      <c r="G250" s="5"/>
    </row>
    <row r="251" spans="1:13">
      <c r="A251" s="14"/>
      <c r="B251" s="31" t="s">
        <v>149</v>
      </c>
      <c r="E251" s="292"/>
      <c r="F251" s="293">
        <f>ROUND(+F200/$D$241,3)</f>
        <v>0.7</v>
      </c>
      <c r="G251" s="293">
        <f>ROUND(+G200/$D$241,3)</f>
        <v>0.64200000000000002</v>
      </c>
      <c r="H251" s="293">
        <f>ROUND(+H200/$D$241,3)</f>
        <v>0.89600000000000002</v>
      </c>
      <c r="I251" s="292">
        <f>ROUND(+I200/$D$241,3)</f>
        <v>0.63100000000000001</v>
      </c>
      <c r="J251" s="292">
        <f>ROUND(+J200/$D$241,3)</f>
        <v>0.63</v>
      </c>
      <c r="K251" s="294"/>
      <c r="L251" s="294"/>
      <c r="M251" s="294"/>
    </row>
    <row r="252" spans="1:13">
      <c r="A252" s="14"/>
      <c r="B252" s="261" t="s">
        <v>169</v>
      </c>
      <c r="C252" s="295"/>
      <c r="D252" s="207"/>
      <c r="E252" s="293">
        <f>ROUND(+E201/$D$241,3)</f>
        <v>1.8160000000000001</v>
      </c>
      <c r="F252" s="292"/>
      <c r="G252" s="292"/>
      <c r="H252" s="292"/>
      <c r="I252" s="8"/>
      <c r="J252" s="296" t="s">
        <v>240</v>
      </c>
      <c r="K252" s="294"/>
      <c r="L252" s="294"/>
      <c r="M252" s="294"/>
    </row>
    <row r="253" spans="1:13">
      <c r="A253" s="14"/>
      <c r="B253" s="261" t="s">
        <v>170</v>
      </c>
      <c r="C253" s="295"/>
      <c r="D253" s="207"/>
      <c r="E253" s="293">
        <f>ROUND(+E202/$D$241,3)</f>
        <v>0.59899999999999998</v>
      </c>
      <c r="F253" s="292"/>
      <c r="G253" s="292"/>
      <c r="H253" s="297"/>
      <c r="I253" s="8"/>
      <c r="J253" s="296" t="s">
        <v>241</v>
      </c>
      <c r="K253" s="298">
        <f>ROUND((I251*U49+J251*V49)/(U49+V49),3)</f>
        <v>0.63</v>
      </c>
      <c r="L253" s="294"/>
      <c r="M253" s="294"/>
    </row>
    <row r="254" spans="1:13">
      <c r="A254" s="14"/>
      <c r="E254" s="295"/>
      <c r="F254" s="207"/>
      <c r="G254" s="207"/>
      <c r="L254" s="294"/>
      <c r="M254" s="294"/>
    </row>
    <row r="255" spans="1:13">
      <c r="A255" s="14"/>
      <c r="B255" s="299" t="s">
        <v>242</v>
      </c>
      <c r="C255" s="293">
        <f>ROUND(+C200/$D$241,3)</f>
        <v>1.105</v>
      </c>
      <c r="D255" s="293">
        <f>ROUND(+D200/$D$241,3)</f>
        <v>0.92500000000000004</v>
      </c>
      <c r="E255" s="295"/>
      <c r="F255" s="207"/>
      <c r="G255" s="207"/>
      <c r="H255" s="207"/>
      <c r="I255" s="207"/>
      <c r="J255" s="207"/>
      <c r="K255" s="294"/>
      <c r="L255" s="294"/>
      <c r="M255" s="294"/>
    </row>
    <row r="256" spans="1:13">
      <c r="A256" s="2"/>
      <c r="B256" s="299" t="s">
        <v>243</v>
      </c>
      <c r="C256" s="300">
        <f>ROUND(+C203-C200,3)</f>
        <v>-3.0630000000000002</v>
      </c>
      <c r="D256" s="300">
        <f>ROUND(D203-D200,3)</f>
        <v>-3.9220000000000002</v>
      </c>
      <c r="E256" s="6" t="s">
        <v>244</v>
      </c>
      <c r="F256" s="207"/>
      <c r="G256" s="207"/>
      <c r="H256" s="207"/>
      <c r="I256" s="207"/>
      <c r="J256" s="207"/>
      <c r="K256" s="294"/>
      <c r="L256" s="294"/>
      <c r="M256" s="294"/>
    </row>
    <row r="257" spans="1:13">
      <c r="A257" s="2"/>
      <c r="B257" s="299" t="s">
        <v>243</v>
      </c>
      <c r="C257" s="300">
        <f>ROUND(+C204-C200,3)</f>
        <v>5.5890000000000004</v>
      </c>
      <c r="D257" s="300">
        <f>ROUND(D204-D200,3)</f>
        <v>7.6470000000000002</v>
      </c>
      <c r="E257" s="6" t="s">
        <v>245</v>
      </c>
      <c r="F257" s="207"/>
      <c r="G257" s="207"/>
      <c r="H257" s="207"/>
      <c r="I257" s="207"/>
      <c r="J257" s="207"/>
      <c r="K257" s="294"/>
      <c r="L257" s="294"/>
      <c r="M257" s="294"/>
    </row>
    <row r="258" spans="1:13">
      <c r="A258" s="14"/>
      <c r="G258" s="207"/>
      <c r="H258" s="207"/>
      <c r="I258" s="207"/>
      <c r="J258" s="207"/>
      <c r="K258" s="294"/>
      <c r="L258" s="294"/>
      <c r="M258" s="294"/>
    </row>
    <row r="259" spans="1:13">
      <c r="A259" s="14"/>
      <c r="H259" s="207"/>
      <c r="I259" s="207"/>
      <c r="J259" s="207"/>
      <c r="K259" s="294"/>
      <c r="L259" s="294"/>
      <c r="M259" s="294"/>
    </row>
    <row r="260" spans="1:13">
      <c r="A260" s="14"/>
      <c r="C260" s="207"/>
      <c r="D260" s="207"/>
      <c r="E260" s="207"/>
      <c r="F260" s="207"/>
      <c r="G260" s="207"/>
      <c r="H260" s="207"/>
      <c r="I260" s="207"/>
      <c r="J260" s="207"/>
      <c r="K260" s="294"/>
      <c r="L260" s="294"/>
      <c r="M260" s="294"/>
    </row>
    <row r="261" spans="1:13">
      <c r="A261" s="14"/>
      <c r="B261" s="31" t="s">
        <v>152</v>
      </c>
      <c r="C261" s="293">
        <f>ROUND(+C206/$D$241,3)</f>
        <v>1.129</v>
      </c>
      <c r="D261" s="293">
        <f>ROUND(+D206/$D$241,3)</f>
        <v>0.97</v>
      </c>
      <c r="E261" s="292"/>
      <c r="F261" s="293">
        <f>ROUND(+F206/$D$241,3)</f>
        <v>0.73799999999999999</v>
      </c>
      <c r="G261" s="293">
        <f>ROUND(+G206/$D$241,3)</f>
        <v>0.74099999999999999</v>
      </c>
      <c r="H261" s="293">
        <f>ROUND(+H206/$D$241,3)</f>
        <v>0.94699999999999995</v>
      </c>
      <c r="I261" s="292">
        <f>ROUND(+I206/$D$241,3)</f>
        <v>0.72899999999999998</v>
      </c>
      <c r="J261" s="292">
        <f>ROUND(+J206/$D$241,3)</f>
        <v>0.72699999999999998</v>
      </c>
      <c r="K261" s="294"/>
      <c r="L261" s="294"/>
      <c r="M261" s="294"/>
    </row>
    <row r="262" spans="1:13">
      <c r="A262" s="14"/>
      <c r="B262" s="261" t="s">
        <v>169</v>
      </c>
      <c r="C262" s="207"/>
      <c r="D262" s="207"/>
      <c r="E262" s="293">
        <f>ROUND(+E207/$D$241,3)</f>
        <v>1.7589999999999999</v>
      </c>
      <c r="F262" s="207"/>
      <c r="G262" s="207"/>
      <c r="H262" s="207"/>
      <c r="J262" s="296" t="s">
        <v>240</v>
      </c>
      <c r="K262" s="294"/>
      <c r="L262" s="294"/>
      <c r="M262" s="294"/>
    </row>
    <row r="263" spans="1:13">
      <c r="A263" s="14"/>
      <c r="B263" s="261" t="s">
        <v>170</v>
      </c>
      <c r="C263" s="207"/>
      <c r="D263" s="207"/>
      <c r="E263" s="293">
        <f>ROUND(+E208/$D$241,3)</f>
        <v>0.70699999999999996</v>
      </c>
      <c r="F263" s="207"/>
      <c r="G263" s="207"/>
      <c r="J263" s="296" t="s">
        <v>241</v>
      </c>
      <c r="K263" s="298">
        <f>ROUND((I261*U45+J261*V45)/(U45+V45),3)</f>
        <v>0.72799999999999998</v>
      </c>
      <c r="L263" s="294"/>
      <c r="M263" s="294"/>
    </row>
    <row r="264" spans="1:13">
      <c r="A264" s="14"/>
      <c r="C264" s="294"/>
      <c r="D264" s="294"/>
      <c r="E264" s="294"/>
      <c r="F264" s="294"/>
      <c r="G264" s="294"/>
      <c r="K264" s="294"/>
      <c r="L264" s="294"/>
      <c r="M264" s="294"/>
    </row>
    <row r="265" spans="1:13">
      <c r="A265" s="14"/>
      <c r="B265" s="1" t="s">
        <v>246</v>
      </c>
      <c r="C265" s="301">
        <f>ROUND(+C210/$D$241,3)</f>
        <v>1.119</v>
      </c>
      <c r="D265" s="301">
        <f t="shared" ref="D265:J265" si="53">ROUND(+D210/$D$241,3)</f>
        <v>0.96</v>
      </c>
      <c r="E265" s="301">
        <f t="shared" si="53"/>
        <v>1.1659999999999999</v>
      </c>
      <c r="F265" s="301">
        <f t="shared" si="53"/>
        <v>0.72699999999999998</v>
      </c>
      <c r="G265" s="301">
        <f t="shared" si="53"/>
        <v>0.72799999999999998</v>
      </c>
      <c r="H265" s="301">
        <f t="shared" si="53"/>
        <v>0.93500000000000005</v>
      </c>
      <c r="I265" s="301">
        <f t="shared" si="53"/>
        <v>0.70199999999999996</v>
      </c>
      <c r="J265" s="301">
        <f t="shared" si="53"/>
        <v>0.70099999999999996</v>
      </c>
      <c r="K265" s="294"/>
      <c r="L265" s="294"/>
      <c r="M265" s="294"/>
    </row>
    <row r="266" spans="1:13">
      <c r="A266" s="14"/>
    </row>
    <row r="267" spans="1:13">
      <c r="A267" s="14"/>
    </row>
    <row r="268" spans="1:13">
      <c r="A268" s="14"/>
      <c r="B268" s="10" t="s">
        <v>217</v>
      </c>
    </row>
    <row r="269" spans="1:13">
      <c r="A269" s="14"/>
      <c r="B269" s="11" t="s">
        <v>218</v>
      </c>
    </row>
    <row r="270" spans="1:13">
      <c r="A270" s="14"/>
      <c r="B270" s="8"/>
    </row>
    <row r="271" spans="1:13">
      <c r="A271" s="14"/>
      <c r="C271" s="5" t="str">
        <f>+K7</f>
        <v>GLP</v>
      </c>
      <c r="D271" s="5" t="str">
        <f>+C271</f>
        <v>GLP</v>
      </c>
      <c r="E271" s="5" t="str">
        <f>+L7</f>
        <v>LPL-S</v>
      </c>
      <c r="F271" s="5" t="str">
        <f>+E271</f>
        <v>LPL-S</v>
      </c>
      <c r="H271" s="10" t="s">
        <v>219</v>
      </c>
    </row>
    <row r="272" spans="1:13" ht="26">
      <c r="A272" s="14"/>
      <c r="C272" s="5" t="s">
        <v>247</v>
      </c>
      <c r="D272" s="302" t="s">
        <v>243</v>
      </c>
      <c r="E272" s="5" t="s">
        <v>247</v>
      </c>
      <c r="F272" s="302" t="s">
        <v>243</v>
      </c>
    </row>
    <row r="273" spans="1:11">
      <c r="A273" s="14"/>
      <c r="B273" s="31" t="s">
        <v>149</v>
      </c>
      <c r="C273" s="293">
        <f>ROUND(+C228/$D$241,3)</f>
        <v>0.98299999999999998</v>
      </c>
      <c r="D273" s="298">
        <f>ROUND(+C217-C228,3)</f>
        <v>-26.506</v>
      </c>
      <c r="E273" s="297"/>
      <c r="F273" s="297"/>
      <c r="H273" s="289" t="s">
        <v>220</v>
      </c>
    </row>
    <row r="274" spans="1:11">
      <c r="A274" s="14"/>
      <c r="B274" s="261" t="s">
        <v>169</v>
      </c>
      <c r="C274" s="292"/>
      <c r="D274" s="298"/>
      <c r="E274" s="293">
        <f>ROUND(D229/$D$241,3)</f>
        <v>1.256</v>
      </c>
      <c r="F274" s="298">
        <f>ROUND(+D218-D229,3)</f>
        <v>-42.347000000000001</v>
      </c>
      <c r="H274" s="94" t="s">
        <v>221</v>
      </c>
      <c r="I274" s="303">
        <f t="shared" ref="I274:J276" si="54">ROUND(+I218,4)</f>
        <v>10.047599999999999</v>
      </c>
      <c r="J274" s="303">
        <f t="shared" si="54"/>
        <v>10.047599999999999</v>
      </c>
      <c r="K274" s="109" t="s">
        <v>222</v>
      </c>
    </row>
    <row r="275" spans="1:11">
      <c r="A275" s="14"/>
      <c r="B275" s="261" t="s">
        <v>170</v>
      </c>
      <c r="C275" s="292"/>
      <c r="D275" s="298"/>
      <c r="E275" s="293">
        <f>ROUND(D230/$D$241,3)</f>
        <v>0.59799999999999998</v>
      </c>
      <c r="F275" s="298">
        <f>ROUND(+D219-D230,3)</f>
        <v>0</v>
      </c>
      <c r="H275" s="94" t="s">
        <v>223</v>
      </c>
      <c r="I275" s="303">
        <f t="shared" si="54"/>
        <v>10.006399999999999</v>
      </c>
      <c r="J275" s="303">
        <f t="shared" si="54"/>
        <v>10.006399999999999</v>
      </c>
      <c r="K275" s="109" t="s">
        <v>222</v>
      </c>
    </row>
    <row r="276" spans="1:11">
      <c r="A276" s="14"/>
      <c r="C276" s="292"/>
      <c r="D276" s="298"/>
      <c r="E276" s="292"/>
      <c r="F276" s="298"/>
      <c r="H276" s="94" t="s">
        <v>224</v>
      </c>
      <c r="I276" s="303">
        <f t="shared" si="54"/>
        <v>10.020200000000001</v>
      </c>
      <c r="J276" s="303">
        <f t="shared" si="54"/>
        <v>10.020200000000001</v>
      </c>
      <c r="K276" s="109" t="s">
        <v>222</v>
      </c>
    </row>
    <row r="277" spans="1:11">
      <c r="A277" s="14"/>
      <c r="B277" s="31" t="s">
        <v>152</v>
      </c>
      <c r="C277" s="293">
        <f>ROUND(+C232/$D$241,3)</f>
        <v>1.0349999999999999</v>
      </c>
      <c r="D277" s="298">
        <f>ROUND(+C221-C232,3)</f>
        <v>-30.044</v>
      </c>
      <c r="E277" s="293"/>
      <c r="F277" s="298"/>
    </row>
    <row r="278" spans="1:11">
      <c r="A278" s="14"/>
      <c r="B278" s="261" t="s">
        <v>169</v>
      </c>
      <c r="C278" s="292"/>
      <c r="D278" s="297"/>
      <c r="E278" s="293">
        <f>ROUND(D233/$D$241,3)</f>
        <v>1.2549999999999999</v>
      </c>
      <c r="F278" s="298">
        <f>ROUND(+D222-D233,3)</f>
        <v>-48.57</v>
      </c>
      <c r="H278" s="289" t="s">
        <v>225</v>
      </c>
      <c r="I278" s="213"/>
      <c r="J278" s="213"/>
    </row>
    <row r="279" spans="1:11">
      <c r="A279" s="14"/>
      <c r="B279" s="261" t="s">
        <v>170</v>
      </c>
      <c r="C279" s="292"/>
      <c r="D279" s="297"/>
      <c r="E279" s="293">
        <f>ROUND(D234/$D$241,3)</f>
        <v>0.70099999999999996</v>
      </c>
      <c r="F279" s="298">
        <f>ROUND(+D223-D234,3)</f>
        <v>0</v>
      </c>
      <c r="H279" s="94" t="s">
        <v>226</v>
      </c>
      <c r="I279" s="303">
        <f>ROUND(+I223,4)</f>
        <v>0</v>
      </c>
      <c r="J279" s="303">
        <f>ROUND(+J223,4)</f>
        <v>0</v>
      </c>
      <c r="K279" s="109" t="s">
        <v>227</v>
      </c>
    </row>
    <row r="280" spans="1:11">
      <c r="A280" s="14"/>
      <c r="C280" s="301"/>
      <c r="D280" s="297"/>
      <c r="E280" s="301"/>
      <c r="F280" s="297"/>
    </row>
    <row r="281" spans="1:11">
      <c r="A281" s="14"/>
      <c r="B281" s="8" t="s">
        <v>231</v>
      </c>
      <c r="C281" s="301">
        <f>ROUND(+C236/$D$241,3)</f>
        <v>1.016</v>
      </c>
      <c r="D281" s="297"/>
      <c r="E281" s="301">
        <f>ROUND(+D236/$D$241,3)</f>
        <v>0.94699999999999995</v>
      </c>
      <c r="F281" s="297"/>
    </row>
    <row r="282" spans="1:11">
      <c r="A282" s="14"/>
      <c r="C282" s="294"/>
      <c r="E282" s="294"/>
    </row>
    <row r="283" spans="1:11">
      <c r="A283" s="14"/>
      <c r="C283" s="294"/>
      <c r="E283" s="294"/>
    </row>
    <row r="285" spans="1:11">
      <c r="A285" s="10" t="s">
        <v>248</v>
      </c>
      <c r="E285" s="262"/>
      <c r="G285" s="214"/>
    </row>
    <row r="286" spans="1:11">
      <c r="A286" s="14"/>
      <c r="B286" s="94" t="s">
        <v>249</v>
      </c>
      <c r="C286" s="122">
        <f>+F164</f>
        <v>329.43</v>
      </c>
      <c r="D286" s="109" t="s">
        <v>250</v>
      </c>
      <c r="E286" s="4" t="s">
        <v>221</v>
      </c>
      <c r="G286" s="214"/>
    </row>
    <row r="287" spans="1:11">
      <c r="A287" s="14"/>
      <c r="B287" s="94"/>
      <c r="C287" s="122">
        <f>+F165</f>
        <v>329.43</v>
      </c>
      <c r="D287" s="109" t="s">
        <v>250</v>
      </c>
      <c r="E287" s="4" t="s">
        <v>223</v>
      </c>
    </row>
    <row r="288" spans="1:11">
      <c r="A288" s="14"/>
      <c r="B288" s="94"/>
    </row>
    <row r="289" spans="1:5">
      <c r="A289" s="14"/>
      <c r="B289" s="94" t="s">
        <v>251</v>
      </c>
      <c r="C289" s="122">
        <f>+D161</f>
        <v>0</v>
      </c>
      <c r="D289" s="109" t="s">
        <v>185</v>
      </c>
      <c r="E289" s="285"/>
    </row>
    <row r="290" spans="1:5">
      <c r="A290" s="14"/>
      <c r="B290" s="94" t="s">
        <v>252</v>
      </c>
      <c r="C290" s="304">
        <f>+H158</f>
        <v>4</v>
      </c>
      <c r="D290" s="1" t="s">
        <v>253</v>
      </c>
      <c r="E290" s="285"/>
    </row>
    <row r="291" spans="1:5">
      <c r="A291" s="14"/>
      <c r="B291" s="94"/>
      <c r="C291" s="304">
        <f>+H159</f>
        <v>8</v>
      </c>
      <c r="D291" s="1" t="s">
        <v>254</v>
      </c>
      <c r="E291" s="285"/>
    </row>
    <row r="292" spans="1:5">
      <c r="A292" s="14"/>
      <c r="B292" s="100" t="s">
        <v>255</v>
      </c>
      <c r="C292" s="211">
        <f>+D177</f>
        <v>20.02</v>
      </c>
      <c r="D292" s="1" t="s">
        <v>81</v>
      </c>
    </row>
    <row r="293" spans="1:5">
      <c r="A293" s="14"/>
      <c r="B293" s="94" t="s">
        <v>256</v>
      </c>
      <c r="C293" s="8" t="s">
        <v>257</v>
      </c>
    </row>
    <row r="294" spans="1:5">
      <c r="A294" s="14"/>
      <c r="B294" s="94" t="s">
        <v>258</v>
      </c>
      <c r="C294" s="6" t="str">
        <f>" forecasted "&amp;(Inputs!D2-1)&amp;" energy use by class, PJM and PSE&amp;G on/off % from "&amp;(Inputs!D2-4)&amp;", "&amp;(Inputs!D2-3)&amp;" &amp; "&amp;(Inputs!D2-2)&amp;" class load profiles"</f>
        <v xml:space="preserve"> forecasted 2025 energy use by class, PJM and PSE&amp;G on/off % from 2022, 2023 &amp; 2024 class load profiles</v>
      </c>
    </row>
    <row r="295" spans="1:5">
      <c r="A295" s="14"/>
      <c r="B295" s="94"/>
      <c r="C295" s="4"/>
    </row>
    <row r="296" spans="1:5">
      <c r="A296" s="14"/>
      <c r="B296" s="94" t="s">
        <v>259</v>
      </c>
      <c r="C296" s="1" t="s">
        <v>260</v>
      </c>
    </row>
    <row r="297" spans="1:5">
      <c r="A297" s="14"/>
      <c r="B297" s="94" t="s">
        <v>261</v>
      </c>
      <c r="C297" s="1" t="s">
        <v>262</v>
      </c>
    </row>
    <row r="298" spans="1:5">
      <c r="A298" s="14"/>
      <c r="B298" s="94" t="s">
        <v>263</v>
      </c>
      <c r="C298" s="1" t="s">
        <v>264</v>
      </c>
    </row>
    <row r="299" spans="1:5">
      <c r="C299" s="1" t="s">
        <v>265</v>
      </c>
    </row>
    <row r="300" spans="1:5">
      <c r="B300" s="94" t="s">
        <v>266</v>
      </c>
      <c r="C300" s="1" t="s">
        <v>267</v>
      </c>
    </row>
    <row r="301" spans="1:5">
      <c r="A301" s="14"/>
      <c r="B301" s="100" t="s">
        <v>268</v>
      </c>
      <c r="C301" s="294" t="s">
        <v>269</v>
      </c>
      <c r="E301" s="294"/>
    </row>
    <row r="302" spans="1:5">
      <c r="A302" s="14"/>
      <c r="C302" s="294"/>
      <c r="E302" s="294"/>
    </row>
    <row r="303" spans="1:5">
      <c r="A303" s="14"/>
      <c r="C303" s="294"/>
      <c r="E303" s="294"/>
    </row>
    <row r="304" spans="1:5">
      <c r="A304" s="2" t="s">
        <v>270</v>
      </c>
      <c r="B304" s="10" t="s">
        <v>271</v>
      </c>
    </row>
    <row r="305" spans="1:13">
      <c r="A305" s="14"/>
      <c r="B305" s="10"/>
    </row>
    <row r="306" spans="1:13">
      <c r="A306" s="14"/>
      <c r="C306" s="5" t="s">
        <v>8</v>
      </c>
      <c r="D306" s="5" t="s">
        <v>9</v>
      </c>
      <c r="E306" s="5" t="s">
        <v>10</v>
      </c>
      <c r="F306" s="5" t="s">
        <v>11</v>
      </c>
      <c r="G306" s="5" t="s">
        <v>12</v>
      </c>
      <c r="H306" s="5" t="s">
        <v>13</v>
      </c>
      <c r="I306" s="5" t="s">
        <v>14</v>
      </c>
      <c r="J306" s="5" t="s">
        <v>15</v>
      </c>
      <c r="K306" s="5" t="s">
        <v>16</v>
      </c>
      <c r="L306" s="5" t="s">
        <v>17</v>
      </c>
      <c r="M306" s="5"/>
    </row>
    <row r="307" spans="1:13">
      <c r="A307" s="14"/>
      <c r="B307" s="1" t="s">
        <v>272</v>
      </c>
    </row>
    <row r="308" spans="1:13">
      <c r="A308" s="14"/>
      <c r="B308" s="40" t="s">
        <v>47</v>
      </c>
      <c r="C308" s="265">
        <f>(+C203*SUM(C50:C53)*C169+C204*SUM(C50:C53)*C170)/1000</f>
        <v>635624.43112609419</v>
      </c>
      <c r="D308" s="265">
        <f>(+D203*SUM(D50:D53)*D169+D204*SUM(D50:D53)*D170)/1000</f>
        <v>1511.3241239936106</v>
      </c>
      <c r="E308" s="268">
        <f>(E201*SUMPRODUCT(E32:E35,E50:E53)+E202*SUMPRODUCT(Q32:Q35,E50:E53))/1000</f>
        <v>8908.2890033121312</v>
      </c>
      <c r="F308" s="268">
        <f>+F200*SUM(F50:F53)/1000</f>
        <v>4.75233221881843</v>
      </c>
      <c r="G308" s="454">
        <f>+G200*SUM(G50:G53)/1000</f>
        <v>6.6025653945950238E-2</v>
      </c>
      <c r="H308" s="268">
        <f>+H200*SUM(H50:H53)/1000</f>
        <v>197.67055348908912</v>
      </c>
      <c r="I308" s="268">
        <f>+I200*SUM(I50:I53)/1000</f>
        <v>2412.9450113594812</v>
      </c>
      <c r="J308" s="268">
        <f>+J200*SUM(J50:J53)/1000</f>
        <v>5188.6758091282345</v>
      </c>
      <c r="K308" s="268">
        <f>(C217*SUM(K50:K53)/1000)+(I218*$H158*K153)+(I223*$H158*K155)</f>
        <v>223299.07833099592</v>
      </c>
      <c r="L308" s="268">
        <f>(D217*SUM(L50:L53)/1000)+(J218*$H158*L153)+(J223*$H158*L155)</f>
        <v>173107.59957644701</v>
      </c>
      <c r="M308" s="268"/>
    </row>
    <row r="309" spans="1:13">
      <c r="A309" s="14"/>
      <c r="B309" s="40" t="s">
        <v>48</v>
      </c>
      <c r="C309" s="268">
        <f>+C206*SUM(C45:C49,C54:C56)/1000</f>
        <v>906728.36306334741</v>
      </c>
      <c r="D309" s="268">
        <f>+D206*SUM(D45:D49,D54:D56)/1000</f>
        <v>5651.0504753323376</v>
      </c>
      <c r="E309" s="268">
        <f>(E207*(SUMPRODUCT(E27:E31,E45:E49)+SUMPRODUCT(E36:E38,E54:E56))+E208*(SUMPRODUCT(Q27:Q31,E45:E49)+SUMPRODUCT(Q36:Q38,E54:E56)))/1000</f>
        <v>10939.211453906646</v>
      </c>
      <c r="F309" s="268">
        <f>+F206*SUM(F45:F49,F54:F56)/1000</f>
        <v>12.682614291214106</v>
      </c>
      <c r="G309" s="454">
        <f>+G206*SUM(G45:G49,G54:G56)/1000</f>
        <v>0.53336002721735354</v>
      </c>
      <c r="H309" s="268">
        <f>+H206*SUM(H45:H49,H54:H56)/1000</f>
        <v>691.18537713695071</v>
      </c>
      <c r="I309" s="268">
        <f>+I206*SUM(I45:I49,I54:I56)/1000</f>
        <v>7319.3551052598405</v>
      </c>
      <c r="J309" s="268">
        <f>+J206*SUM(J45:J49,J54:J56)/1000</f>
        <v>16496.470669678612</v>
      </c>
      <c r="K309" s="268">
        <f>(C221*SUM(K45:K49,K54:K56)/1000)+(I219*$H159*K153)+(I223*$H159*K155)</f>
        <v>414429.80038909207</v>
      </c>
      <c r="L309" s="268">
        <f>(D221*SUM(L45:L49,L54:L56)/1000)+(J219*$H159*L153)+(J223*$H159*L155)</f>
        <v>325161.93423830246</v>
      </c>
      <c r="M309" s="268"/>
    </row>
    <row r="310" spans="1:13">
      <c r="A310" s="14"/>
      <c r="B310" s="40" t="s">
        <v>109</v>
      </c>
      <c r="C310" s="206">
        <f>+C309+C308</f>
        <v>1542352.7941894415</v>
      </c>
      <c r="D310" s="206">
        <f t="shared" ref="D310:J310" si="55">+D309+D308</f>
        <v>7162.3745993259481</v>
      </c>
      <c r="E310" s="206">
        <f t="shared" si="55"/>
        <v>19847.500457218775</v>
      </c>
      <c r="F310" s="206">
        <f t="shared" si="55"/>
        <v>17.434946510032535</v>
      </c>
      <c r="G310" s="455">
        <f t="shared" si="55"/>
        <v>0.59938568116330382</v>
      </c>
      <c r="H310" s="206">
        <f t="shared" si="55"/>
        <v>888.85593062603982</v>
      </c>
      <c r="I310" s="206">
        <f t="shared" si="55"/>
        <v>9732.3001166193208</v>
      </c>
      <c r="J310" s="268">
        <f t="shared" si="55"/>
        <v>21685.146478806848</v>
      </c>
      <c r="K310" s="268">
        <f>+K309+K308</f>
        <v>637728.87872008793</v>
      </c>
      <c r="L310" s="268">
        <f>+L309+L308</f>
        <v>498269.53381474945</v>
      </c>
      <c r="M310" s="268"/>
    </row>
    <row r="311" spans="1:13">
      <c r="A311" s="14"/>
      <c r="B311" s="40"/>
    </row>
    <row r="312" spans="1:13">
      <c r="A312" s="14"/>
      <c r="B312" s="1" t="s">
        <v>273</v>
      </c>
    </row>
    <row r="313" spans="1:13">
      <c r="A313" s="14"/>
      <c r="B313" s="40" t="s">
        <v>47</v>
      </c>
      <c r="C313" s="241">
        <f>+C308/C310</f>
        <v>0.41211351483311981</v>
      </c>
      <c r="D313" s="241">
        <f t="shared" ref="D313:I313" si="56">+D308/D310</f>
        <v>0.2110088076286657</v>
      </c>
      <c r="E313" s="241">
        <f t="shared" si="56"/>
        <v>0.44883682066232572</v>
      </c>
      <c r="F313" s="241">
        <f t="shared" si="56"/>
        <v>0.27257509600524504</v>
      </c>
      <c r="G313" s="338">
        <f t="shared" si="56"/>
        <v>0.11015554094953665</v>
      </c>
      <c r="H313" s="241">
        <f t="shared" si="56"/>
        <v>0.22238761837350357</v>
      </c>
      <c r="I313" s="241">
        <f t="shared" si="56"/>
        <v>0.24793162792411488</v>
      </c>
      <c r="J313" s="241">
        <f>+J308/J310</f>
        <v>0.23927326542152663</v>
      </c>
      <c r="K313" s="241">
        <f>+K308/K310</f>
        <v>0.35014735224027138</v>
      </c>
      <c r="L313" s="241">
        <f>+L308/L310</f>
        <v>0.34741758792903904</v>
      </c>
      <c r="M313" s="241"/>
    </row>
    <row r="314" spans="1:13">
      <c r="A314" s="14"/>
      <c r="B314" s="40" t="s">
        <v>48</v>
      </c>
      <c r="C314" s="241">
        <f>+C309/C310</f>
        <v>0.58788648516688025</v>
      </c>
      <c r="D314" s="241">
        <f t="shared" ref="D314:I314" si="57">+D309/D310</f>
        <v>0.7889911923713343</v>
      </c>
      <c r="E314" s="241">
        <f t="shared" si="57"/>
        <v>0.55116317933767434</v>
      </c>
      <c r="F314" s="241">
        <f t="shared" si="57"/>
        <v>0.72742490399475501</v>
      </c>
      <c r="G314" s="241">
        <f t="shared" si="57"/>
        <v>0.88984445905046328</v>
      </c>
      <c r="H314" s="241">
        <f t="shared" si="57"/>
        <v>0.77761238162649637</v>
      </c>
      <c r="I314" s="241">
        <f t="shared" si="57"/>
        <v>0.75206837207588517</v>
      </c>
      <c r="J314" s="241">
        <f>+J309/J310</f>
        <v>0.76072673457847328</v>
      </c>
      <c r="K314" s="241">
        <f>+K309/K310</f>
        <v>0.64985264775972873</v>
      </c>
      <c r="L314" s="241">
        <f>+L309/L310</f>
        <v>0.65258241207096102</v>
      </c>
      <c r="M314" s="241"/>
    </row>
    <row r="315" spans="1:13">
      <c r="A315" s="14"/>
    </row>
    <row r="316" spans="1:13">
      <c r="A316" s="14"/>
      <c r="B316" s="1" t="s">
        <v>274</v>
      </c>
    </row>
    <row r="317" spans="1:13">
      <c r="A317" s="14"/>
      <c r="B317" s="40" t="s">
        <v>47</v>
      </c>
      <c r="C317" s="305">
        <f>+SUM(C308:L308)</f>
        <v>1050254.8318926925</v>
      </c>
    </row>
    <row r="318" spans="1:13">
      <c r="A318" s="14"/>
      <c r="B318" s="40" t="s">
        <v>48</v>
      </c>
      <c r="C318" s="305">
        <f>+SUM(C309:L309)</f>
        <v>1687430.5867463746</v>
      </c>
    </row>
    <row r="319" spans="1:13">
      <c r="A319" s="14"/>
      <c r="B319" s="40" t="s">
        <v>109</v>
      </c>
      <c r="C319" s="206">
        <f>+C318+C317</f>
        <v>2737685.4186390671</v>
      </c>
      <c r="D319" s="214"/>
    </row>
    <row r="320" spans="1:13">
      <c r="A320" s="14"/>
      <c r="L320" s="306" t="s">
        <v>275</v>
      </c>
    </row>
    <row r="321" spans="1:13">
      <c r="A321" s="14"/>
      <c r="B321" s="1" t="s">
        <v>276</v>
      </c>
      <c r="D321" s="1" t="s">
        <v>277</v>
      </c>
      <c r="K321" s="40" t="s">
        <v>0</v>
      </c>
    </row>
    <row r="322" spans="1:13">
      <c r="A322" s="14"/>
      <c r="B322" s="40" t="s">
        <v>47</v>
      </c>
      <c r="C322" s="241">
        <f>+C317/C319</f>
        <v>0.38362874884828274</v>
      </c>
      <c r="E322" s="262">
        <f>+C317/SUMPRODUCT(O49:X49,C85:L85)*1000</f>
        <v>101.46317928105768</v>
      </c>
      <c r="F322" s="1" t="s">
        <v>278</v>
      </c>
      <c r="I322" s="1" t="s">
        <v>279</v>
      </c>
      <c r="K322" s="40" t="s">
        <v>47</v>
      </c>
      <c r="L322" s="74">
        <f>IF(ROUND(E322/$D$241,4)&lt;ROUND(E323/$D$241,4),1,ROUND(E322/$D$241,4))</f>
        <v>1</v>
      </c>
      <c r="M322" s="307"/>
    </row>
    <row r="323" spans="1:13">
      <c r="A323" s="14"/>
      <c r="B323" s="40" t="s">
        <v>48</v>
      </c>
      <c r="C323" s="241">
        <f>+C318/C319</f>
        <v>0.6163712511517172</v>
      </c>
      <c r="E323" s="262">
        <f>+C318/SUMPRODUCT(O45:X45,C85:L85)*1000</f>
        <v>103.76900028577785</v>
      </c>
      <c r="F323" s="1" t="s">
        <v>278</v>
      </c>
      <c r="K323" s="40" t="s">
        <v>48</v>
      </c>
      <c r="L323" s="74">
        <f>IF(ROUND(E322/$D$241,4)&lt;ROUND(E323/$D$241,4),1,ROUND(E323/$D$241,4))</f>
        <v>1</v>
      </c>
      <c r="M323" s="307"/>
    </row>
    <row r="324" spans="1:13">
      <c r="A324" s="14"/>
    </row>
    <row r="325" spans="1:13">
      <c r="A325" s="14"/>
      <c r="C325" s="294"/>
      <c r="E325" s="294"/>
    </row>
    <row r="326" spans="1:13">
      <c r="A326" s="2" t="s">
        <v>280</v>
      </c>
      <c r="B326" s="10" t="s">
        <v>281</v>
      </c>
      <c r="C326" s="294"/>
      <c r="E326" s="294"/>
    </row>
    <row r="327" spans="1:13">
      <c r="A327" s="14"/>
      <c r="C327" s="294"/>
      <c r="E327" s="294"/>
    </row>
    <row r="328" spans="1:13">
      <c r="A328" s="14"/>
      <c r="B328" s="94" t="s">
        <v>282</v>
      </c>
      <c r="C328" s="260">
        <f>D241</f>
        <v>102.87213743886623</v>
      </c>
      <c r="E328" s="308" t="s">
        <v>283</v>
      </c>
    </row>
    <row r="329" spans="1:13">
      <c r="A329" s="14"/>
      <c r="B329" s="94" t="s">
        <v>284</v>
      </c>
      <c r="C329" s="309">
        <f>+L322</f>
        <v>1</v>
      </c>
      <c r="E329" s="294"/>
    </row>
    <row r="330" spans="1:13">
      <c r="A330" s="14"/>
      <c r="B330" s="94" t="s">
        <v>285</v>
      </c>
      <c r="C330" s="309">
        <f>+L323</f>
        <v>1</v>
      </c>
      <c r="E330" s="294"/>
    </row>
    <row r="331" spans="1:13">
      <c r="A331" s="14"/>
      <c r="C331" s="294"/>
      <c r="E331" s="294"/>
    </row>
    <row r="332" spans="1:13">
      <c r="A332" s="14"/>
      <c r="C332" s="5" t="s">
        <v>8</v>
      </c>
      <c r="D332" s="5" t="s">
        <v>9</v>
      </c>
      <c r="E332" s="5" t="s">
        <v>10</v>
      </c>
      <c r="F332" s="5" t="s">
        <v>11</v>
      </c>
      <c r="G332" s="5" t="s">
        <v>12</v>
      </c>
      <c r="H332" s="5" t="s">
        <v>13</v>
      </c>
      <c r="I332" s="5" t="s">
        <v>14</v>
      </c>
      <c r="J332" s="5" t="s">
        <v>15</v>
      </c>
      <c r="K332" s="5" t="s">
        <v>16</v>
      </c>
      <c r="L332" s="5" t="s">
        <v>17</v>
      </c>
    </row>
    <row r="333" spans="1:13">
      <c r="A333" s="14"/>
      <c r="B333" s="1" t="s">
        <v>286</v>
      </c>
    </row>
    <row r="334" spans="1:13">
      <c r="A334" s="14"/>
      <c r="B334" s="40" t="s">
        <v>47</v>
      </c>
      <c r="C334" s="268">
        <f>+($C$328*C255*O49+C256*O53+C257*O54)/1000</f>
        <v>635417.09258114418</v>
      </c>
      <c r="D334" s="268">
        <f>+($C$328*D255*P49+D256*P53+D257*P54)/1000</f>
        <v>1511.299090635581</v>
      </c>
      <c r="E334" s="310">
        <f>(($C$328*E252*Q50)+(C328*E253*Q51))/1000</f>
        <v>8907.8318825940514</v>
      </c>
      <c r="F334" s="268">
        <f>+$C$328*F251*R49/1000</f>
        <v>4.7526927496756199</v>
      </c>
      <c r="G334" s="268">
        <f>+$C$328*G251*S49/1000</f>
        <v>6.6043912235752122E-2</v>
      </c>
      <c r="H334" s="268">
        <f>+$C$328*H251*T49/1000</f>
        <v>197.58137214730405</v>
      </c>
      <c r="I334" s="268">
        <f>+$C$328*K253*U49/1000</f>
        <v>2409.6800335321259</v>
      </c>
      <c r="J334" s="268">
        <f>+$C$328*K253*V49/1000</f>
        <v>5186.3759630835202</v>
      </c>
      <c r="K334" s="310">
        <f>+($C$328*C273+D273)*W49/1000+(I274*H158*K153)+(I279*H158*K155)</f>
        <v>223302.98158854028</v>
      </c>
      <c r="L334" s="310">
        <f>(($C$328*E274+F274)*X50+(C328*E275*X51))/1000+(J274*$H$158*L153)+(J279*$H$158*L155)</f>
        <v>173164.99359197955</v>
      </c>
    </row>
    <row r="335" spans="1:13">
      <c r="A335" s="14"/>
      <c r="B335" s="40" t="s">
        <v>48</v>
      </c>
      <c r="C335" s="268">
        <f>+$C$328*C261*O45/1000</f>
        <v>906384.06961515243</v>
      </c>
      <c r="D335" s="268">
        <f>+$C$328*D261*P45/1000</f>
        <v>5653.704837486518</v>
      </c>
      <c r="E335" s="310">
        <f>(($C$328*E262*Q46)+(C328*E263*Q47))/1000</f>
        <v>10938.599062692982</v>
      </c>
      <c r="F335" s="268">
        <f>+$C$328*F261*R45/1000</f>
        <v>12.678579450790508</v>
      </c>
      <c r="G335" s="268">
        <f>+$C$328*G261*S45/1000</f>
        <v>0.53359777689539922</v>
      </c>
      <c r="H335" s="268">
        <f>+$C$328*H261*T45/1000</f>
        <v>691.18156016781404</v>
      </c>
      <c r="I335" s="268">
        <f>+$C$328*K263*U45/1000</f>
        <v>7304.7850611368895</v>
      </c>
      <c r="J335" s="268">
        <f>+$C$328*K263*V45/1000</f>
        <v>16527.601373371053</v>
      </c>
      <c r="K335" s="310">
        <f>+($C$328*C277+D277)*W45/1000+(I275*H159*K153)+(I279*H159*K155)</f>
        <v>414400.07479989424</v>
      </c>
      <c r="L335" s="310">
        <f>(($C$328*E278+F278)*X46+C328*E279*X47)/1000+(J275*$H$159*L153)+(J279*$H$159*L155)</f>
        <v>325198.16387935058</v>
      </c>
    </row>
    <row r="336" spans="1:13">
      <c r="A336" s="14"/>
      <c r="B336" s="40" t="s">
        <v>109</v>
      </c>
      <c r="C336" s="206">
        <f>+C335+C334</f>
        <v>1541801.1621962967</v>
      </c>
      <c r="D336" s="206">
        <f t="shared" ref="D336:L336" si="58">+D335+D334</f>
        <v>7165.0039281220988</v>
      </c>
      <c r="E336" s="206">
        <f t="shared" si="58"/>
        <v>19846.430945287033</v>
      </c>
      <c r="F336" s="206">
        <f t="shared" si="58"/>
        <v>17.431272200466129</v>
      </c>
      <c r="G336" s="206">
        <f t="shared" si="58"/>
        <v>0.59964168913115135</v>
      </c>
      <c r="H336" s="206">
        <f t="shared" si="58"/>
        <v>888.76293231511806</v>
      </c>
      <c r="I336" s="206">
        <f t="shared" si="58"/>
        <v>9714.4650946690163</v>
      </c>
      <c r="J336" s="206">
        <f t="shared" si="58"/>
        <v>21713.977336454573</v>
      </c>
      <c r="K336" s="206">
        <f t="shared" si="58"/>
        <v>637703.05638843449</v>
      </c>
      <c r="L336" s="206">
        <f t="shared" si="58"/>
        <v>498363.15747133014</v>
      </c>
    </row>
    <row r="337" spans="1:12">
      <c r="A337" s="14"/>
      <c r="B337" s="40"/>
      <c r="C337" s="206"/>
      <c r="D337" s="206"/>
      <c r="E337" s="206"/>
      <c r="F337" s="206"/>
      <c r="G337" s="206"/>
      <c r="H337" s="206"/>
      <c r="I337" s="206"/>
      <c r="J337" s="206"/>
      <c r="K337" s="206"/>
      <c r="L337" s="206"/>
    </row>
    <row r="338" spans="1:12">
      <c r="A338" s="14"/>
      <c r="B338" s="40" t="s">
        <v>287</v>
      </c>
      <c r="C338" s="206">
        <f>SUM(C334:L334)</f>
        <v>1050102.6548403185</v>
      </c>
      <c r="D338" s="206"/>
      <c r="E338" s="206"/>
      <c r="F338" s="206"/>
      <c r="G338" s="206"/>
      <c r="H338" s="206"/>
      <c r="I338" s="206"/>
      <c r="J338" s="206"/>
      <c r="K338" s="206"/>
      <c r="L338" s="206"/>
    </row>
    <row r="339" spans="1:12">
      <c r="A339" s="14"/>
      <c r="B339" s="40" t="s">
        <v>288</v>
      </c>
      <c r="C339" s="206">
        <f>SUM(C335:L335)</f>
        <v>1687111.3923664803</v>
      </c>
      <c r="E339" s="294"/>
    </row>
    <row r="340" spans="1:12">
      <c r="A340" s="14"/>
      <c r="B340" s="40" t="s">
        <v>289</v>
      </c>
      <c r="C340" s="206">
        <f>+C339+C338</f>
        <v>2737214.0472067986</v>
      </c>
      <c r="E340" s="294"/>
    </row>
    <row r="341" spans="1:12">
      <c r="A341" s="14"/>
      <c r="B341" s="40"/>
      <c r="C341" s="294"/>
      <c r="E341" s="294"/>
    </row>
    <row r="342" spans="1:12">
      <c r="A342" s="14"/>
      <c r="C342" s="5" t="s">
        <v>8</v>
      </c>
      <c r="D342" s="5" t="s">
        <v>9</v>
      </c>
      <c r="E342" s="5" t="s">
        <v>10</v>
      </c>
      <c r="F342" s="5" t="s">
        <v>11</v>
      </c>
      <c r="G342" s="5" t="s">
        <v>12</v>
      </c>
      <c r="H342" s="5" t="s">
        <v>13</v>
      </c>
      <c r="I342" s="5" t="s">
        <v>14</v>
      </c>
      <c r="J342" s="5" t="s">
        <v>15</v>
      </c>
      <c r="K342" s="5" t="s">
        <v>16</v>
      </c>
      <c r="L342" s="5" t="s">
        <v>17</v>
      </c>
    </row>
    <row r="343" spans="1:12">
      <c r="A343" s="14"/>
      <c r="B343" s="1" t="s">
        <v>290</v>
      </c>
    </row>
    <row r="344" spans="1:12">
      <c r="A344" s="14"/>
      <c r="B344" s="40" t="s">
        <v>47</v>
      </c>
      <c r="C344" s="268">
        <f t="shared" ref="C344:L344" si="59">+$C$328*$C$329*O49*C85/1000</f>
        <v>605007.79996505287</v>
      </c>
      <c r="D344" s="268">
        <f t="shared" si="59"/>
        <v>1718.9878653267706</v>
      </c>
      <c r="E344" s="268">
        <f t="shared" si="59"/>
        <v>7919.2626762713326</v>
      </c>
      <c r="F344" s="268">
        <f t="shared" si="59"/>
        <v>7.1434058357395926</v>
      </c>
      <c r="G344" s="268">
        <f t="shared" si="59"/>
        <v>0.1082334217536302</v>
      </c>
      <c r="H344" s="268">
        <f t="shared" si="59"/>
        <v>232.00728006488055</v>
      </c>
      <c r="I344" s="268">
        <f t="shared" si="59"/>
        <v>4024.2268542217239</v>
      </c>
      <c r="J344" s="268">
        <f t="shared" si="59"/>
        <v>8661.3795758342549</v>
      </c>
      <c r="K344" s="268">
        <f t="shared" si="59"/>
        <v>238831.59943800056</v>
      </c>
      <c r="L344" s="268">
        <f t="shared" si="59"/>
        <v>198436.57389927475</v>
      </c>
    </row>
    <row r="345" spans="1:12">
      <c r="A345" s="14"/>
      <c r="B345" s="40" t="s">
        <v>48</v>
      </c>
      <c r="C345" s="268">
        <f t="shared" ref="C345:L345" si="60">+$C$328*$C$330*O45*C85/1000</f>
        <v>844660.03701259149</v>
      </c>
      <c r="D345" s="268">
        <f t="shared" si="60"/>
        <v>6132.3230090690367</v>
      </c>
      <c r="E345" s="268">
        <f t="shared" si="60"/>
        <v>9985.097392847807</v>
      </c>
      <c r="F345" s="268">
        <f t="shared" si="60"/>
        <v>18.074981432856237</v>
      </c>
      <c r="G345" s="268">
        <f t="shared" si="60"/>
        <v>0.7576339522754113</v>
      </c>
      <c r="H345" s="268">
        <f t="shared" si="60"/>
        <v>767.90198348206957</v>
      </c>
      <c r="I345" s="268">
        <f t="shared" si="60"/>
        <v>10556.979724427334</v>
      </c>
      <c r="J345" s="268">
        <f t="shared" si="60"/>
        <v>23885.925613386891</v>
      </c>
      <c r="K345" s="268">
        <f t="shared" si="60"/>
        <v>421415.8373027902</v>
      </c>
      <c r="L345" s="268">
        <f t="shared" si="60"/>
        <v>355423.39479178254</v>
      </c>
    </row>
    <row r="346" spans="1:12">
      <c r="A346" s="14"/>
      <c r="B346" s="40" t="s">
        <v>109</v>
      </c>
      <c r="C346" s="206">
        <f t="shared" ref="C346:L346" si="61">+C345+C344</f>
        <v>1449667.8369776444</v>
      </c>
      <c r="D346" s="206">
        <f t="shared" si="61"/>
        <v>7851.3108743958073</v>
      </c>
      <c r="E346" s="206">
        <f t="shared" si="61"/>
        <v>17904.360069119139</v>
      </c>
      <c r="F346" s="206">
        <f t="shared" si="61"/>
        <v>25.21838726859583</v>
      </c>
      <c r="G346" s="206">
        <f t="shared" si="61"/>
        <v>0.86586737402904146</v>
      </c>
      <c r="H346" s="206">
        <f t="shared" si="61"/>
        <v>999.90926354695011</v>
      </c>
      <c r="I346" s="206">
        <f t="shared" si="61"/>
        <v>14581.206578649058</v>
      </c>
      <c r="J346" s="268">
        <f t="shared" si="61"/>
        <v>32547.305189221144</v>
      </c>
      <c r="K346" s="268">
        <f t="shared" si="61"/>
        <v>660247.43674079073</v>
      </c>
      <c r="L346" s="268">
        <f t="shared" si="61"/>
        <v>553859.96869105729</v>
      </c>
    </row>
    <row r="347" spans="1:12">
      <c r="A347" s="14"/>
      <c r="C347" s="294"/>
      <c r="D347" s="294"/>
      <c r="E347" s="294"/>
      <c r="F347" s="294"/>
      <c r="G347" s="294"/>
      <c r="H347" s="294"/>
      <c r="I347" s="294"/>
      <c r="J347" s="294"/>
      <c r="K347" s="294"/>
      <c r="L347" s="294"/>
    </row>
    <row r="348" spans="1:12">
      <c r="A348" s="14"/>
      <c r="B348" s="40" t="s">
        <v>287</v>
      </c>
      <c r="C348" s="206">
        <f>SUM(C344:L344)</f>
        <v>1064839.0891933048</v>
      </c>
    </row>
    <row r="349" spans="1:12">
      <c r="A349" s="14"/>
      <c r="B349" s="40" t="s">
        <v>288</v>
      </c>
      <c r="C349" s="206">
        <f>SUM(C345:L345)</f>
        <v>1672846.3294457626</v>
      </c>
    </row>
    <row r="350" spans="1:12">
      <c r="A350" s="14"/>
      <c r="B350" s="40" t="s">
        <v>289</v>
      </c>
      <c r="C350" s="206">
        <f>+C349+C348</f>
        <v>2737685.4186390676</v>
      </c>
    </row>
    <row r="351" spans="1:12">
      <c r="A351" s="14"/>
      <c r="C351" s="294"/>
      <c r="E351" s="294"/>
    </row>
    <row r="352" spans="1:12">
      <c r="B352" s="94" t="s">
        <v>291</v>
      </c>
      <c r="C352" s="206">
        <f>+C340-C350</f>
        <v>-471.37143226899207</v>
      </c>
    </row>
    <row r="353" spans="1:3">
      <c r="C353" s="1" t="s">
        <v>292</v>
      </c>
    </row>
    <row r="356" spans="1:3">
      <c r="A356" s="2" t="s">
        <v>293</v>
      </c>
      <c r="B356" s="10" t="s">
        <v>294</v>
      </c>
      <c r="C356" s="107" t="s">
        <v>295</v>
      </c>
    </row>
    <row r="357" spans="1:3">
      <c r="B357" s="11" t="s">
        <v>34</v>
      </c>
    </row>
    <row r="358" spans="1:3">
      <c r="B358" s="40" t="s">
        <v>47</v>
      </c>
      <c r="C358" s="41">
        <f>SUMPRODUCT(O49:X49,C85:L85)</f>
        <v>10351093.266882937</v>
      </c>
    </row>
    <row r="359" spans="1:3">
      <c r="B359" s="40" t="s">
        <v>48</v>
      </c>
      <c r="C359" s="209">
        <f>SUMPRODUCT(O45:X45,C85:L85)</f>
        <v>16261413.159028448</v>
      </c>
    </row>
    <row r="360" spans="1:3">
      <c r="B360" s="40" t="s">
        <v>109</v>
      </c>
      <c r="C360" s="41">
        <f>+C359+C358</f>
        <v>26612506.425911386</v>
      </c>
    </row>
  </sheetData>
  <mergeCells count="1">
    <mergeCell ref="R151:V151"/>
  </mergeCells>
  <pageMargins left="0.75" right="0.75" top="1" bottom="1" header="0.5" footer="0.5"/>
  <pageSetup scale="59" fitToHeight="9" orientation="landscape" r:id="rId1"/>
  <headerFooter alignWithMargins="0">
    <oddHeader>&amp;C&amp;"Arial,Bold"Public Service Electric and Gas Company Specific Addendum
Attachment 2</oddHeader>
    <oddFooter>&amp;CPage &amp;P of &amp;N</oddFooter>
  </headerFooter>
  <rowBreaks count="6" manualBreakCount="6">
    <brk id="39" max="16383" man="1"/>
    <brk id="93" max="11" man="1"/>
    <brk id="146" max="11" man="1"/>
    <brk id="191" max="11" man="1"/>
    <brk id="243" max="11" man="1"/>
    <brk id="30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284D-FEF2-43F0-B194-FE7409D08CCD}">
  <sheetPr codeName="Sheet2">
    <pageSetUpPr fitToPage="1"/>
  </sheetPr>
  <dimension ref="A1:R213"/>
  <sheetViews>
    <sheetView view="pageBreakPreview" zoomScaleNormal="90" zoomScaleSheetLayoutView="100" workbookViewId="0"/>
  </sheetViews>
  <sheetFormatPr defaultColWidth="9.26953125" defaultRowHeight="13"/>
  <cols>
    <col min="1" max="1" width="8.40625" style="1" bestFit="1" customWidth="1"/>
    <col min="2" max="2" width="36.40625" style="1" customWidth="1"/>
    <col min="3" max="3" width="13.7265625" style="1" customWidth="1"/>
    <col min="4" max="4" width="13.26953125" style="1" customWidth="1"/>
    <col min="5" max="5" width="13.40625" style="1" customWidth="1"/>
    <col min="6" max="7" width="12.26953125" style="1" customWidth="1"/>
    <col min="8" max="8" width="11.7265625" style="1" customWidth="1"/>
    <col min="9" max="9" width="19.40625" style="1" customWidth="1"/>
    <col min="10" max="10" width="13.26953125" style="1" customWidth="1"/>
    <col min="11" max="11" width="12.54296875" style="1" customWidth="1"/>
    <col min="12" max="12" width="12.54296875" style="1" bestFit="1" customWidth="1"/>
    <col min="13" max="13" width="14.40625" style="1" bestFit="1" customWidth="1"/>
    <col min="14" max="14" width="24.26953125" style="1" bestFit="1" customWidth="1"/>
    <col min="15" max="16" width="10.7265625" style="1" bestFit="1" customWidth="1"/>
    <col min="17" max="17" width="14.40625" style="1" bestFit="1" customWidth="1"/>
    <col min="18" max="16384" width="9.26953125" style="1"/>
  </cols>
  <sheetData>
    <row r="1" spans="1:18" ht="17.649999999999999" customHeight="1">
      <c r="B1" s="7" t="str">
        <f>"Calculation of June "&amp;(Inputs!D2)&amp;" to May "&amp;(Inputs!D2+1)&amp;" BGS-RSCP Rates"</f>
        <v>Calculation of June 2026 to May 2027 BGS-RSCP Rates</v>
      </c>
      <c r="M1" s="183"/>
      <c r="N1"/>
      <c r="O1" s="507"/>
      <c r="P1" s="507"/>
      <c r="Q1" s="507"/>
      <c r="R1" s="507"/>
    </row>
    <row r="2" spans="1:18" ht="15.65" customHeight="1">
      <c r="B2" s="311" t="s">
        <v>417</v>
      </c>
      <c r="M2"/>
      <c r="N2"/>
      <c r="O2" s="507"/>
      <c r="P2" s="507"/>
      <c r="Q2" s="507"/>
      <c r="R2" s="507"/>
    </row>
    <row r="3" spans="1:18" ht="18.649999999999999" customHeight="1">
      <c r="B3" s="11" t="s">
        <v>296</v>
      </c>
    </row>
    <row r="5" spans="1:18">
      <c r="A5" s="2" t="s">
        <v>297</v>
      </c>
      <c r="B5" s="10" t="s">
        <v>298</v>
      </c>
    </row>
    <row r="6" spans="1:18" ht="51" customHeight="1">
      <c r="A6" s="40" t="s">
        <v>299</v>
      </c>
      <c r="B6" s="10" t="s">
        <v>84</v>
      </c>
      <c r="C6" s="19" t="str">
        <f>Inputs!C135</f>
        <v>remaining portion of 36 month bid - 2024 auction</v>
      </c>
      <c r="D6" s="19" t="str">
        <f>Inputs!D135</f>
        <v>remaining portion of 36 month bid - 2025 auction</v>
      </c>
      <c r="E6" s="19" t="str">
        <f>Inputs!E135</f>
        <v>2026 auction</v>
      </c>
      <c r="G6" s="312" t="s">
        <v>300</v>
      </c>
    </row>
    <row r="7" spans="1:18">
      <c r="C7" s="128" t="str">
        <f>LEFT(RIGHT(C6,12),4)</f>
        <v>2024</v>
      </c>
      <c r="D7" s="128" t="str">
        <f t="shared" ref="D7:E7" si="0">LEFT(RIGHT(D6,12),4)</f>
        <v>2025</v>
      </c>
      <c r="E7" s="128" t="str">
        <f t="shared" si="0"/>
        <v>2026</v>
      </c>
      <c r="F7" s="313"/>
    </row>
    <row r="8" spans="1:18">
      <c r="A8" s="40">
        <v>1</v>
      </c>
      <c r="B8" s="10" t="s">
        <v>96</v>
      </c>
      <c r="C8" s="263">
        <f>Inputs!C136</f>
        <v>80.88</v>
      </c>
      <c r="D8" s="263">
        <f>Inputs!D136</f>
        <v>107.36</v>
      </c>
      <c r="E8" s="274">
        <f>D11</f>
        <v>112.92</v>
      </c>
      <c r="G8" s="11" t="s">
        <v>418</v>
      </c>
    </row>
    <row r="9" spans="1:18">
      <c r="A9" s="232" t="s">
        <v>301</v>
      </c>
      <c r="B9" s="1" t="s">
        <v>302</v>
      </c>
      <c r="C9" s="274">
        <f>'Attach 4 P1'!C21</f>
        <v>26.41</v>
      </c>
      <c r="D9" s="274">
        <f>'Attach 4 P1'!D21</f>
        <v>5.56</v>
      </c>
      <c r="E9" s="490"/>
      <c r="G9" s="314" t="s">
        <v>419</v>
      </c>
      <c r="J9" s="122"/>
    </row>
    <row r="10" spans="1:18">
      <c r="A10" s="232" t="s">
        <v>303</v>
      </c>
      <c r="C10" s="274"/>
      <c r="D10" s="274"/>
      <c r="E10" s="274"/>
      <c r="F10" s="10"/>
      <c r="G10" s="8"/>
    </row>
    <row r="11" spans="1:18">
      <c r="A11" s="232" t="s">
        <v>304</v>
      </c>
      <c r="B11" s="10" t="s">
        <v>305</v>
      </c>
      <c r="C11" s="315">
        <f>C8+C9-C10</f>
        <v>107.28999999999999</v>
      </c>
      <c r="D11" s="315">
        <f t="shared" ref="D11:E11" si="1">D8+D9-D10</f>
        <v>112.92</v>
      </c>
      <c r="E11" s="315">
        <f t="shared" si="1"/>
        <v>112.92</v>
      </c>
      <c r="G11" s="46" t="s">
        <v>306</v>
      </c>
    </row>
    <row r="12" spans="1:18">
      <c r="A12" s="40"/>
      <c r="B12" s="10"/>
      <c r="C12" s="316"/>
      <c r="D12" s="316"/>
      <c r="E12" s="316"/>
      <c r="G12" s="46"/>
    </row>
    <row r="13" spans="1:18">
      <c r="B13" s="11" t="s">
        <v>307</v>
      </c>
    </row>
    <row r="14" spans="1:18">
      <c r="A14" s="40">
        <v>2</v>
      </c>
      <c r="B14" s="10" t="s">
        <v>97</v>
      </c>
      <c r="C14" s="8">
        <f>Inputs!C137</f>
        <v>29</v>
      </c>
      <c r="D14" s="8">
        <f>Inputs!D137</f>
        <v>28</v>
      </c>
      <c r="E14" s="8">
        <f>Inputs!E137</f>
        <v>28</v>
      </c>
      <c r="G14" s="317" t="s">
        <v>308</v>
      </c>
    </row>
    <row r="15" spans="1:18">
      <c r="A15" s="40">
        <v>3</v>
      </c>
      <c r="B15" s="10" t="s">
        <v>309</v>
      </c>
      <c r="C15" s="8">
        <f>SUM(C14:E14)</f>
        <v>85</v>
      </c>
      <c r="D15" s="8">
        <f>C15</f>
        <v>85</v>
      </c>
      <c r="E15" s="8">
        <f>D15</f>
        <v>85</v>
      </c>
      <c r="G15" s="317" t="s">
        <v>308</v>
      </c>
    </row>
    <row r="16" spans="1:18">
      <c r="A16" s="40"/>
      <c r="B16" s="10" t="s">
        <v>100</v>
      </c>
      <c r="C16" s="8"/>
      <c r="D16" s="8"/>
      <c r="E16" s="8"/>
    </row>
    <row r="17" spans="1:12">
      <c r="A17" s="40">
        <v>4</v>
      </c>
      <c r="B17" s="241" t="s">
        <v>101</v>
      </c>
      <c r="C17" s="70">
        <f>Inputs!C140</f>
        <v>1</v>
      </c>
      <c r="D17" s="70">
        <f>Inputs!D140</f>
        <v>1</v>
      </c>
      <c r="E17" s="70">
        <f>IF(LEFT(Inputs!$B$2,6)="rebase",Inputs!E140,'Attach2 - BidFactors'!L322)</f>
        <v>1</v>
      </c>
      <c r="K17" s="244"/>
    </row>
    <row r="18" spans="1:12" ht="12.75" customHeight="1">
      <c r="A18" s="40">
        <v>5</v>
      </c>
      <c r="B18" s="241" t="s">
        <v>102</v>
      </c>
      <c r="C18" s="70">
        <f>Inputs!C141</f>
        <v>1</v>
      </c>
      <c r="D18" s="70">
        <f>Inputs!D141</f>
        <v>1</v>
      </c>
      <c r="E18" s="70">
        <f>IF(LEFT(Inputs!$B$2,6)="rebase",Inputs!E141,'Attach2 - BidFactors'!L323)</f>
        <v>1</v>
      </c>
      <c r="K18" s="244"/>
    </row>
    <row r="19" spans="1:12">
      <c r="A19" s="40"/>
    </row>
    <row r="20" spans="1:12">
      <c r="A20" s="40"/>
      <c r="B20" s="10" t="s">
        <v>310</v>
      </c>
    </row>
    <row r="21" spans="1:12">
      <c r="A21" s="40">
        <v>6</v>
      </c>
      <c r="B21" s="1" t="s">
        <v>311</v>
      </c>
      <c r="C21" s="318">
        <f>+'Attach2 - BidFactors'!C358</f>
        <v>10351093.266882937</v>
      </c>
      <c r="D21" s="47"/>
      <c r="E21" s="47"/>
      <c r="G21" s="8" t="s">
        <v>312</v>
      </c>
    </row>
    <row r="22" spans="1:12">
      <c r="A22" s="40">
        <v>7</v>
      </c>
      <c r="B22" s="1" t="s">
        <v>313</v>
      </c>
      <c r="C22" s="318">
        <f>+'Attach2 - BidFactors'!C359</f>
        <v>16261413.159028448</v>
      </c>
      <c r="D22" s="47"/>
      <c r="E22" s="47"/>
    </row>
    <row r="23" spans="1:12">
      <c r="A23" s="40"/>
    </row>
    <row r="24" spans="1:12">
      <c r="A24" s="40"/>
      <c r="B24" s="10" t="s">
        <v>314</v>
      </c>
    </row>
    <row r="25" spans="1:12">
      <c r="A25" s="40">
        <v>8</v>
      </c>
      <c r="B25" s="241" t="s">
        <v>101</v>
      </c>
      <c r="C25" s="319">
        <f>(+C$11*C$14/C$15*C17*$C21/1000)</f>
        <v>378899.9423707322</v>
      </c>
      <c r="D25" s="319">
        <f t="shared" ref="D25:E26" si="2">(+D$11*D$14/D$15*D17*$C21/1000)</f>
        <v>385031.44291176234</v>
      </c>
      <c r="E25" s="319">
        <f t="shared" si="2"/>
        <v>385031.44291176234</v>
      </c>
      <c r="F25" s="320"/>
      <c r="G25" s="109" t="s">
        <v>315</v>
      </c>
      <c r="J25" s="206"/>
      <c r="L25" s="206"/>
    </row>
    <row r="26" spans="1:12">
      <c r="A26" s="40">
        <v>9</v>
      </c>
      <c r="B26" s="241" t="s">
        <v>102</v>
      </c>
      <c r="C26" s="321">
        <f>(+C$11*C$14/C$15*C18*$C22/1000)</f>
        <v>595246.15902509063</v>
      </c>
      <c r="D26" s="321">
        <f t="shared" si="2"/>
        <v>604878.65493752691</v>
      </c>
      <c r="E26" s="321">
        <f t="shared" si="2"/>
        <v>604878.65493752691</v>
      </c>
      <c r="F26" s="320"/>
      <c r="G26" s="109" t="s">
        <v>316</v>
      </c>
    </row>
    <row r="27" spans="1:12">
      <c r="A27" s="40">
        <v>10</v>
      </c>
      <c r="B27" s="1" t="s">
        <v>317</v>
      </c>
      <c r="C27" s="206">
        <f>+C26+C25</f>
        <v>974146.10139582283</v>
      </c>
      <c r="D27" s="206">
        <f>+D26+D25</f>
        <v>989910.09784928919</v>
      </c>
      <c r="E27" s="206">
        <f>+E26+E25</f>
        <v>989910.09784928919</v>
      </c>
      <c r="G27" s="1" t="s">
        <v>318</v>
      </c>
      <c r="J27" s="206"/>
      <c r="L27" s="206"/>
    </row>
    <row r="28" spans="1:12">
      <c r="A28" s="40"/>
    </row>
    <row r="29" spans="1:12">
      <c r="A29" s="40"/>
      <c r="B29" s="10" t="s">
        <v>319</v>
      </c>
    </row>
    <row r="30" spans="1:12">
      <c r="A30" s="40">
        <v>11</v>
      </c>
      <c r="B30" s="241" t="s">
        <v>101</v>
      </c>
      <c r="C30" s="322">
        <f>ROUND(+SUM(C25:E25)/C21*1000,3)</f>
        <v>110.999</v>
      </c>
      <c r="D30" s="213"/>
      <c r="G30" s="109" t="s">
        <v>320</v>
      </c>
    </row>
    <row r="31" spans="1:12">
      <c r="A31" s="40">
        <v>12</v>
      </c>
      <c r="B31" s="241" t="s">
        <v>102</v>
      </c>
      <c r="C31" s="323">
        <f>ROUND(+SUM(C26:E26)/C22*1000,3)</f>
        <v>110.999</v>
      </c>
      <c r="G31" s="109" t="s">
        <v>321</v>
      </c>
    </row>
    <row r="32" spans="1:12">
      <c r="A32" s="40"/>
      <c r="B32" s="241"/>
      <c r="C32" s="290"/>
      <c r="G32" s="109"/>
    </row>
    <row r="33" spans="1:10">
      <c r="A33" s="40">
        <v>13</v>
      </c>
      <c r="B33" s="1" t="s">
        <v>322</v>
      </c>
      <c r="C33" s="324">
        <f>ROUND(+SUM(C27:E27)/(C21+C22)*1000,3)</f>
        <v>110.999</v>
      </c>
      <c r="D33" s="1" t="s">
        <v>323</v>
      </c>
      <c r="G33" s="109" t="s">
        <v>324</v>
      </c>
    </row>
    <row r="34" spans="1:10">
      <c r="D34" s="1" t="s">
        <v>325</v>
      </c>
      <c r="G34" s="1" t="s">
        <v>326</v>
      </c>
    </row>
    <row r="35" spans="1:10">
      <c r="C35" s="213"/>
    </row>
    <row r="36" spans="1:10">
      <c r="B36" s="208" t="s">
        <v>327</v>
      </c>
      <c r="D36" s="213"/>
    </row>
    <row r="37" spans="1:10">
      <c r="A37" s="40">
        <v>14</v>
      </c>
      <c r="B37" s="94" t="s">
        <v>328</v>
      </c>
      <c r="C37" s="206">
        <f>(C33*(C22+C21))/1000</f>
        <v>2953961.6007697377</v>
      </c>
      <c r="D37" s="213"/>
      <c r="G37" s="109" t="s">
        <v>329</v>
      </c>
    </row>
    <row r="38" spans="1:10" ht="15.25">
      <c r="A38" s="40">
        <v>15</v>
      </c>
      <c r="B38" s="94" t="s">
        <v>330</v>
      </c>
      <c r="C38" s="325">
        <f>SUM(C27:E27)</f>
        <v>2953966.297094401</v>
      </c>
      <c r="D38" s="213"/>
      <c r="G38" s="109" t="s">
        <v>331</v>
      </c>
    </row>
    <row r="39" spans="1:10">
      <c r="A39" s="40">
        <v>16</v>
      </c>
      <c r="B39" s="94" t="s">
        <v>332</v>
      </c>
      <c r="C39" s="268">
        <f>+C37-C38</f>
        <v>-4.6963246632367373</v>
      </c>
      <c r="D39" s="213"/>
      <c r="G39" s="109" t="s">
        <v>333</v>
      </c>
    </row>
    <row r="40" spans="1:10">
      <c r="B40" s="94"/>
      <c r="D40" s="213"/>
    </row>
    <row r="42" spans="1:10">
      <c r="A42" s="2" t="s">
        <v>334</v>
      </c>
      <c r="B42" s="10" t="s">
        <v>335</v>
      </c>
      <c r="G42" s="11" t="s">
        <v>336</v>
      </c>
    </row>
    <row r="43" spans="1:10">
      <c r="A43" s="2"/>
      <c r="B43" s="10"/>
      <c r="G43" s="11" t="s">
        <v>337</v>
      </c>
    </row>
    <row r="44" spans="1:10">
      <c r="B44" s="10" t="s">
        <v>213</v>
      </c>
    </row>
    <row r="45" spans="1:10">
      <c r="B45" s="11" t="s">
        <v>338</v>
      </c>
    </row>
    <row r="46" spans="1:10">
      <c r="B46" s="10"/>
    </row>
    <row r="47" spans="1:10">
      <c r="C47" s="5" t="str">
        <f>+'Attach2 - BidFactors'!C249</f>
        <v>RS</v>
      </c>
      <c r="D47" s="5" t="str">
        <f>+'Attach2 - BidFactors'!D249</f>
        <v>RHS</v>
      </c>
      <c r="E47" s="5" t="str">
        <f>+'Attach2 - BidFactors'!E249</f>
        <v>RLM</v>
      </c>
      <c r="F47" s="5" t="str">
        <f>+'Attach2 - BidFactors'!F249</f>
        <v>WH</v>
      </c>
      <c r="G47" s="5" t="str">
        <f>+'Attach2 - BidFactors'!G249</f>
        <v>WHS</v>
      </c>
      <c r="H47" s="5" t="str">
        <f>+'Attach2 - BidFactors'!H249</f>
        <v>HS</v>
      </c>
      <c r="I47" s="5" t="str">
        <f>+'Attach2 - BidFactors'!I249</f>
        <v>PSAL</v>
      </c>
      <c r="J47" s="5" t="str">
        <f>+'Attach2 - BidFactors'!J249</f>
        <v>BPL</v>
      </c>
    </row>
    <row r="48" spans="1:10">
      <c r="C48" s="5"/>
      <c r="D48" s="5"/>
      <c r="E48" s="5"/>
      <c r="F48" s="5"/>
      <c r="G48" s="5"/>
    </row>
    <row r="49" spans="2:14">
      <c r="B49" s="31" t="s">
        <v>149</v>
      </c>
      <c r="E49" s="292"/>
      <c r="F49" s="293">
        <f>+'Attach2 - BidFactors'!F251</f>
        <v>0.7</v>
      </c>
      <c r="G49" s="293">
        <f>+'Attach2 - BidFactors'!G251</f>
        <v>0.64200000000000002</v>
      </c>
      <c r="H49" s="293">
        <f>+'Attach2 - BidFactors'!H251</f>
        <v>0.89600000000000002</v>
      </c>
      <c r="I49" s="292">
        <f>+'Attach2 - BidFactors'!I251</f>
        <v>0.63100000000000001</v>
      </c>
      <c r="J49" s="292">
        <f>+'Attach2 - BidFactors'!J251</f>
        <v>0.63</v>
      </c>
      <c r="K49" s="294"/>
      <c r="L49" s="294"/>
      <c r="M49" s="294"/>
    </row>
    <row r="50" spans="2:14">
      <c r="B50" s="261" t="s">
        <v>169</v>
      </c>
      <c r="C50" s="295"/>
      <c r="D50" s="207"/>
      <c r="E50" s="293">
        <f>+'Attach2 - BidFactors'!E252</f>
        <v>1.8160000000000001</v>
      </c>
      <c r="F50" s="292"/>
      <c r="G50" s="292"/>
      <c r="H50" s="292"/>
      <c r="I50" s="8"/>
      <c r="J50" s="296" t="s">
        <v>240</v>
      </c>
      <c r="K50" s="294"/>
      <c r="L50" s="294"/>
      <c r="M50" s="294"/>
    </row>
    <row r="51" spans="2:14">
      <c r="B51" s="261" t="s">
        <v>170</v>
      </c>
      <c r="C51" s="295"/>
      <c r="D51" s="207"/>
      <c r="E51" s="293">
        <f>+'Attach2 - BidFactors'!E253</f>
        <v>0.59899999999999998</v>
      </c>
      <c r="F51" s="292"/>
      <c r="G51" s="292"/>
      <c r="H51" s="297"/>
      <c r="I51" s="8"/>
      <c r="J51" s="296" t="s">
        <v>241</v>
      </c>
      <c r="K51" s="298">
        <f>+'Attach2 - BidFactors'!K253</f>
        <v>0.63</v>
      </c>
      <c r="L51" s="294"/>
      <c r="M51" s="294"/>
    </row>
    <row r="52" spans="2:14">
      <c r="E52" s="295"/>
      <c r="F52" s="207"/>
      <c r="G52" s="207"/>
      <c r="L52" s="294"/>
      <c r="M52" s="294"/>
    </row>
    <row r="53" spans="2:14">
      <c r="B53" s="299" t="s">
        <v>242</v>
      </c>
      <c r="C53" s="293">
        <f>+'Attach2 - BidFactors'!C255</f>
        <v>1.105</v>
      </c>
      <c r="D53" s="293">
        <f>+'Attach2 - BidFactors'!D255</f>
        <v>0.92500000000000004</v>
      </c>
      <c r="E53" s="295"/>
      <c r="F53" s="207"/>
      <c r="G53" s="207"/>
      <c r="H53" s="207"/>
      <c r="I53" s="207"/>
      <c r="J53" s="207"/>
      <c r="K53" s="294"/>
      <c r="L53" s="294"/>
      <c r="M53" s="294"/>
    </row>
    <row r="54" spans="2:14">
      <c r="B54" s="299" t="s">
        <v>243</v>
      </c>
      <c r="C54" s="300">
        <f>+'Attach2 - BidFactors'!C256</f>
        <v>-3.0630000000000002</v>
      </c>
      <c r="D54" s="300">
        <f>+'Attach2 - BidFactors'!D256</f>
        <v>-3.9220000000000002</v>
      </c>
      <c r="E54" s="6" t="s">
        <v>244</v>
      </c>
      <c r="F54" s="207"/>
      <c r="G54" s="207"/>
      <c r="H54" s="207"/>
      <c r="I54" s="207"/>
      <c r="J54" s="207"/>
      <c r="K54" s="294"/>
      <c r="L54" s="294"/>
      <c r="M54" s="294"/>
    </row>
    <row r="55" spans="2:14">
      <c r="B55" s="299" t="s">
        <v>243</v>
      </c>
      <c r="C55" s="300">
        <f>+'Attach2 - BidFactors'!C257</f>
        <v>5.5890000000000004</v>
      </c>
      <c r="D55" s="300">
        <f>+'Attach2 - BidFactors'!D257</f>
        <v>7.6470000000000002</v>
      </c>
      <c r="E55" s="6" t="s">
        <v>245</v>
      </c>
      <c r="F55" s="207"/>
      <c r="G55" s="207"/>
      <c r="H55" s="207"/>
      <c r="I55" s="207"/>
      <c r="J55" s="207"/>
      <c r="K55" s="294"/>
      <c r="L55" s="294"/>
      <c r="M55" s="294"/>
    </row>
    <row r="56" spans="2:14">
      <c r="G56" s="207"/>
      <c r="H56" s="207"/>
      <c r="I56" s="207"/>
      <c r="J56" s="207"/>
      <c r="K56" s="294"/>
      <c r="L56" s="294"/>
      <c r="M56" s="294"/>
    </row>
    <row r="57" spans="2:14">
      <c r="H57" s="207"/>
      <c r="I57" s="207"/>
      <c r="J57" s="207"/>
      <c r="K57" s="294"/>
      <c r="L57" s="294"/>
      <c r="M57" s="294"/>
    </row>
    <row r="58" spans="2:14">
      <c r="C58" s="207"/>
      <c r="D58" s="207"/>
      <c r="E58" s="207"/>
      <c r="F58" s="207"/>
      <c r="G58" s="207"/>
      <c r="H58" s="207"/>
      <c r="I58" s="207"/>
      <c r="J58" s="207"/>
      <c r="K58" s="294"/>
      <c r="L58" s="294"/>
      <c r="M58" s="294"/>
    </row>
    <row r="59" spans="2:14">
      <c r="B59" s="31" t="s">
        <v>152</v>
      </c>
      <c r="C59" s="293">
        <f>+'Attach2 - BidFactors'!C261</f>
        <v>1.129</v>
      </c>
      <c r="D59" s="293">
        <f>+'Attach2 - BidFactors'!D261</f>
        <v>0.97</v>
      </c>
      <c r="E59" s="292"/>
      <c r="F59" s="293">
        <f>+'Attach2 - BidFactors'!F261</f>
        <v>0.73799999999999999</v>
      </c>
      <c r="G59" s="293">
        <f>+'Attach2 - BidFactors'!G261</f>
        <v>0.74099999999999999</v>
      </c>
      <c r="H59" s="293">
        <f>+'Attach2 - BidFactors'!H261</f>
        <v>0.94699999999999995</v>
      </c>
      <c r="I59" s="292">
        <f>+'Attach2 - BidFactors'!I261</f>
        <v>0.72899999999999998</v>
      </c>
      <c r="J59" s="292">
        <f>+'Attach2 - BidFactors'!J261</f>
        <v>0.72699999999999998</v>
      </c>
      <c r="K59" s="294"/>
      <c r="L59" s="294"/>
      <c r="M59" s="294"/>
    </row>
    <row r="60" spans="2:14">
      <c r="B60" s="261" t="s">
        <v>169</v>
      </c>
      <c r="C60" s="207"/>
      <c r="D60" s="207"/>
      <c r="E60" s="293">
        <f>+'Attach2 - BidFactors'!E262</f>
        <v>1.7589999999999999</v>
      </c>
      <c r="F60" s="207"/>
      <c r="G60" s="207"/>
      <c r="H60" s="207"/>
      <c r="J60" s="296" t="s">
        <v>240</v>
      </c>
      <c r="K60" s="294"/>
      <c r="L60" s="294"/>
      <c r="M60" s="294"/>
    </row>
    <row r="61" spans="2:14">
      <c r="B61" s="261" t="s">
        <v>170</v>
      </c>
      <c r="C61" s="207"/>
      <c r="D61" s="207"/>
      <c r="E61" s="293">
        <f>+'Attach2 - BidFactors'!E263</f>
        <v>0.70699999999999996</v>
      </c>
      <c r="F61" s="207"/>
      <c r="G61" s="207"/>
      <c r="J61" s="296" t="s">
        <v>241</v>
      </c>
      <c r="K61" s="298">
        <f>+'Attach2 - BidFactors'!K263</f>
        <v>0.72799999999999998</v>
      </c>
      <c r="L61" s="294"/>
      <c r="M61" s="294"/>
    </row>
    <row r="62" spans="2:14">
      <c r="C62" s="294"/>
      <c r="D62" s="294"/>
      <c r="E62" s="294"/>
      <c r="F62" s="294"/>
      <c r="G62" s="294"/>
      <c r="K62" s="294"/>
      <c r="L62" s="294"/>
      <c r="M62" s="294"/>
    </row>
    <row r="63" spans="2:14">
      <c r="B63" s="1" t="s">
        <v>246</v>
      </c>
      <c r="C63" s="301">
        <f>+'Attach2 - BidFactors'!C265</f>
        <v>1.119</v>
      </c>
      <c r="D63" s="301">
        <f>+'Attach2 - BidFactors'!D265</f>
        <v>0.96</v>
      </c>
      <c r="E63" s="301">
        <f>+'Attach2 - BidFactors'!E265</f>
        <v>1.1659999999999999</v>
      </c>
      <c r="F63" s="301">
        <f>+'Attach2 - BidFactors'!F265</f>
        <v>0.72699999999999998</v>
      </c>
      <c r="G63" s="301">
        <f>+'Attach2 - BidFactors'!G265</f>
        <v>0.72799999999999998</v>
      </c>
      <c r="H63" s="301">
        <f>+'Attach2 - BidFactors'!H265</f>
        <v>0.93500000000000005</v>
      </c>
      <c r="I63" s="301">
        <f>+'Attach2 - BidFactors'!I265</f>
        <v>0.70199999999999996</v>
      </c>
      <c r="J63" s="301">
        <f>+'Attach2 - BidFactors'!J265</f>
        <v>0.70099999999999996</v>
      </c>
      <c r="K63" s="294"/>
      <c r="L63" s="294"/>
      <c r="M63" s="294"/>
    </row>
    <row r="64" spans="2:14">
      <c r="N64" s="8"/>
    </row>
    <row r="65" spans="2:14">
      <c r="N65" s="8"/>
    </row>
    <row r="66" spans="2:14">
      <c r="B66" s="10" t="s">
        <v>217</v>
      </c>
      <c r="N66" s="297"/>
    </row>
    <row r="67" spans="2:14">
      <c r="B67" s="11" t="s">
        <v>218</v>
      </c>
    </row>
    <row r="68" spans="2:14">
      <c r="B68" s="8"/>
      <c r="N68" s="214"/>
    </row>
    <row r="69" spans="2:14">
      <c r="C69" s="5" t="str">
        <f>+'Attach2 - BidFactors'!C271</f>
        <v>GLP</v>
      </c>
      <c r="D69" s="5" t="str">
        <f>+'Attach2 - BidFactors'!D271</f>
        <v>GLP</v>
      </c>
      <c r="E69" s="5" t="str">
        <f>+'Attach2 - BidFactors'!E271</f>
        <v>LPL-S</v>
      </c>
      <c r="F69" s="5" t="str">
        <f>+'Attach2 - BidFactors'!F271</f>
        <v>LPL-S</v>
      </c>
      <c r="H69" s="10" t="s">
        <v>219</v>
      </c>
      <c r="I69" s="5" t="str">
        <f>+C69</f>
        <v>GLP</v>
      </c>
      <c r="J69" s="5" t="str">
        <f>+E69</f>
        <v>LPL-S</v>
      </c>
    </row>
    <row r="70" spans="2:14" ht="26">
      <c r="C70" s="5" t="s">
        <v>247</v>
      </c>
      <c r="D70" s="302" t="s">
        <v>243</v>
      </c>
      <c r="E70" s="5" t="s">
        <v>247</v>
      </c>
      <c r="F70" s="302" t="s">
        <v>243</v>
      </c>
    </row>
    <row r="71" spans="2:14">
      <c r="B71" s="31" t="s">
        <v>149</v>
      </c>
      <c r="C71" s="293">
        <f>+'Attach2 - BidFactors'!C273</f>
        <v>0.98299999999999998</v>
      </c>
      <c r="D71" s="298">
        <f>+'Attach2 - BidFactors'!D273</f>
        <v>-26.506</v>
      </c>
      <c r="E71" s="297"/>
      <c r="F71" s="297"/>
      <c r="H71" s="289" t="s">
        <v>220</v>
      </c>
      <c r="N71" s="326"/>
    </row>
    <row r="72" spans="2:14">
      <c r="B72" s="261" t="s">
        <v>169</v>
      </c>
      <c r="C72" s="292"/>
      <c r="D72" s="298"/>
      <c r="E72" s="293">
        <f>+'Attach2 - BidFactors'!E274</f>
        <v>1.256</v>
      </c>
      <c r="F72" s="298">
        <f>+'Attach2 - BidFactors'!F274</f>
        <v>-42.347000000000001</v>
      </c>
      <c r="H72" s="94" t="s">
        <v>221</v>
      </c>
      <c r="I72" s="303">
        <f>+'Attach2 - BidFactors'!I$276</f>
        <v>10.020200000000001</v>
      </c>
      <c r="J72" s="303">
        <f>+'Attach2 - BidFactors'!J$276</f>
        <v>10.020200000000001</v>
      </c>
      <c r="K72" s="109" t="s">
        <v>222</v>
      </c>
      <c r="N72" s="122"/>
    </row>
    <row r="73" spans="2:14">
      <c r="B73" s="261" t="s">
        <v>170</v>
      </c>
      <c r="C73" s="292"/>
      <c r="D73" s="298"/>
      <c r="E73" s="293">
        <f>+'Attach2 - BidFactors'!E275</f>
        <v>0.59799999999999998</v>
      </c>
      <c r="F73" s="298">
        <f>+'Attach2 - BidFactors'!F275</f>
        <v>0</v>
      </c>
      <c r="H73" s="94" t="s">
        <v>223</v>
      </c>
      <c r="I73" s="303">
        <f>+'Attach2 - BidFactors'!I$276</f>
        <v>10.020200000000001</v>
      </c>
      <c r="J73" s="303">
        <f>+'Attach2 - BidFactors'!J$276</f>
        <v>10.020200000000001</v>
      </c>
      <c r="K73" s="109" t="s">
        <v>222</v>
      </c>
    </row>
    <row r="74" spans="2:14">
      <c r="C74" s="292"/>
      <c r="D74" s="298"/>
      <c r="E74" s="292"/>
      <c r="F74" s="298"/>
      <c r="H74" s="94"/>
      <c r="I74" s="303"/>
      <c r="J74" s="303"/>
      <c r="K74" s="109"/>
    </row>
    <row r="75" spans="2:14">
      <c r="B75" s="31" t="s">
        <v>152</v>
      </c>
      <c r="C75" s="293">
        <f>+'Attach2 - BidFactors'!C277</f>
        <v>1.0349999999999999</v>
      </c>
      <c r="D75" s="298">
        <f>+'Attach2 - BidFactors'!D277</f>
        <v>-30.044</v>
      </c>
      <c r="E75" s="293"/>
      <c r="F75" s="298"/>
      <c r="H75" s="289" t="s">
        <v>225</v>
      </c>
      <c r="I75" s="213"/>
      <c r="J75" s="213"/>
    </row>
    <row r="76" spans="2:14">
      <c r="B76" s="261" t="s">
        <v>169</v>
      </c>
      <c r="C76" s="292"/>
      <c r="D76" s="297"/>
      <c r="E76" s="293">
        <f>+'Attach2 - BidFactors'!E278</f>
        <v>1.2549999999999999</v>
      </c>
      <c r="F76" s="298">
        <f>+'Attach2 - BidFactors'!F278</f>
        <v>-48.57</v>
      </c>
      <c r="H76" s="94" t="s">
        <v>226</v>
      </c>
      <c r="I76" s="303">
        <f>+'Attach2 - BidFactors'!I279</f>
        <v>0</v>
      </c>
      <c r="J76" s="303">
        <f>+'Attach2 - BidFactors'!J279</f>
        <v>0</v>
      </c>
      <c r="K76" s="109" t="s">
        <v>227</v>
      </c>
    </row>
    <row r="77" spans="2:14">
      <c r="B77" s="261" t="s">
        <v>170</v>
      </c>
      <c r="C77" s="292"/>
      <c r="D77" s="297"/>
      <c r="E77" s="293">
        <f>+'Attach2 - BidFactors'!E279</f>
        <v>0.70099999999999996</v>
      </c>
      <c r="F77" s="298">
        <f>+'Attach2 - BidFactors'!F279</f>
        <v>0</v>
      </c>
    </row>
    <row r="78" spans="2:14">
      <c r="C78" s="301"/>
      <c r="D78" s="297"/>
      <c r="E78" s="301"/>
      <c r="F78" s="297"/>
    </row>
    <row r="79" spans="2:14">
      <c r="B79" s="1" t="s">
        <v>339</v>
      </c>
      <c r="C79" s="301">
        <f>+'Attach2 - BidFactors'!C281</f>
        <v>1.016</v>
      </c>
      <c r="D79" s="297"/>
      <c r="E79" s="301">
        <f>+'Attach2 - BidFactors'!E281</f>
        <v>0.94699999999999995</v>
      </c>
      <c r="F79" s="297"/>
    </row>
    <row r="80" spans="2:14">
      <c r="C80" s="301"/>
      <c r="D80" s="297"/>
      <c r="E80" s="301"/>
      <c r="F80" s="297"/>
    </row>
    <row r="81" spans="1:13">
      <c r="C81" s="294"/>
      <c r="E81" s="294"/>
      <c r="I81" s="214"/>
    </row>
    <row r="82" spans="1:13">
      <c r="A82" s="327" t="s">
        <v>340</v>
      </c>
      <c r="B82" s="208" t="s">
        <v>341</v>
      </c>
      <c r="C82" s="294"/>
      <c r="E82" s="294"/>
    </row>
    <row r="83" spans="1:13">
      <c r="A83" s="327"/>
      <c r="B83" s="11" t="s">
        <v>342</v>
      </c>
    </row>
    <row r="85" spans="1:13">
      <c r="B85" s="10" t="s">
        <v>343</v>
      </c>
    </row>
    <row r="86" spans="1:13">
      <c r="B86" s="11" t="s">
        <v>338</v>
      </c>
    </row>
    <row r="87" spans="1:13">
      <c r="B87" s="10"/>
    </row>
    <row r="88" spans="1:13">
      <c r="C88" s="5" t="str">
        <f>+C47</f>
        <v>RS</v>
      </c>
      <c r="D88" s="5" t="str">
        <f t="shared" ref="D88:J88" si="3">+D47</f>
        <v>RHS</v>
      </c>
      <c r="E88" s="5" t="str">
        <f t="shared" si="3"/>
        <v>RLM</v>
      </c>
      <c r="F88" s="5" t="str">
        <f t="shared" si="3"/>
        <v>WH</v>
      </c>
      <c r="G88" s="5" t="str">
        <f t="shared" si="3"/>
        <v>WHS</v>
      </c>
      <c r="H88" s="5" t="str">
        <f t="shared" si="3"/>
        <v>HS</v>
      </c>
      <c r="I88" s="5" t="str">
        <f t="shared" si="3"/>
        <v>PSAL</v>
      </c>
      <c r="J88" s="5" t="str">
        <f t="shared" si="3"/>
        <v>BPL</v>
      </c>
    </row>
    <row r="89" spans="1:13">
      <c r="C89" s="327"/>
      <c r="D89" s="327"/>
      <c r="E89" s="327"/>
      <c r="F89" s="328"/>
      <c r="G89" s="328"/>
      <c r="H89" s="328"/>
      <c r="I89" s="328"/>
      <c r="J89" s="328"/>
    </row>
    <row r="90" spans="1:13">
      <c r="B90" s="31" t="s">
        <v>149</v>
      </c>
      <c r="C90" s="327"/>
      <c r="D90" s="327"/>
      <c r="E90" s="327"/>
      <c r="F90" s="328">
        <f>ROUND(($C$33*F49)/10,4)</f>
        <v>7.7698999999999998</v>
      </c>
      <c r="G90" s="328">
        <f>ROUND(($C$33*G49)/10,4)</f>
        <v>7.1261000000000001</v>
      </c>
      <c r="H90" s="328">
        <f>ROUND(($C$33*H49)/10,4)</f>
        <v>9.9454999999999991</v>
      </c>
      <c r="I90" s="328">
        <f>ROUND(($C$33*K51)/10,4)</f>
        <v>6.9928999999999997</v>
      </c>
      <c r="J90" s="328">
        <f>+I90</f>
        <v>6.9928999999999997</v>
      </c>
      <c r="L90" s="294"/>
      <c r="M90" s="294"/>
    </row>
    <row r="91" spans="1:13">
      <c r="B91" s="261" t="s">
        <v>169</v>
      </c>
      <c r="C91" s="327"/>
      <c r="D91" s="327"/>
      <c r="E91" s="328">
        <f>ROUND(($C$33*E50)/10,4)</f>
        <v>20.157399999999999</v>
      </c>
      <c r="F91" s="327"/>
      <c r="G91" s="328"/>
      <c r="H91" s="328"/>
      <c r="I91" s="328"/>
      <c r="J91" s="327"/>
      <c r="L91" s="294"/>
      <c r="M91" s="294"/>
    </row>
    <row r="92" spans="1:13">
      <c r="B92" s="261" t="s">
        <v>170</v>
      </c>
      <c r="C92" s="327"/>
      <c r="D92" s="327"/>
      <c r="E92" s="328">
        <f>ROUND(($C$33*E51/10),4)</f>
        <v>6.6487999999999996</v>
      </c>
      <c r="F92" s="327"/>
      <c r="G92" s="327"/>
      <c r="H92" s="327"/>
      <c r="I92" s="327"/>
      <c r="J92" s="327"/>
      <c r="L92" s="294"/>
      <c r="M92" s="294"/>
    </row>
    <row r="93" spans="1:13">
      <c r="B93" s="299"/>
      <c r="C93" s="327"/>
      <c r="D93" s="327"/>
      <c r="E93" s="327"/>
      <c r="F93" s="327"/>
      <c r="G93" s="327"/>
      <c r="H93" s="327"/>
      <c r="I93" s="327"/>
      <c r="J93" s="327"/>
      <c r="L93" s="294"/>
      <c r="M93" s="294"/>
    </row>
    <row r="94" spans="1:13">
      <c r="B94" s="6" t="s">
        <v>244</v>
      </c>
      <c r="C94" s="328">
        <f>ROUND((+$C$33*C53+C54)/10,4)</f>
        <v>11.959099999999999</v>
      </c>
      <c r="D94" s="328">
        <f>ROUND((+$C$33*D53+D54)/10,4)</f>
        <v>9.8751999999999995</v>
      </c>
      <c r="E94" s="327"/>
      <c r="F94" s="327"/>
      <c r="G94" s="327"/>
      <c r="H94" s="327"/>
      <c r="I94" s="327"/>
      <c r="J94" s="327"/>
      <c r="L94" s="294"/>
      <c r="M94" s="294"/>
    </row>
    <row r="95" spans="1:13">
      <c r="B95" s="6" t="s">
        <v>245</v>
      </c>
      <c r="C95" s="328">
        <f>ROUND((+$C$33*C53+C55)/10,4)</f>
        <v>12.824299999999999</v>
      </c>
      <c r="D95" s="328">
        <f>ROUND((+$C$33*D53+D55)/10,4)</f>
        <v>11.0321</v>
      </c>
      <c r="E95" s="327"/>
      <c r="F95" s="327"/>
      <c r="G95" s="327"/>
      <c r="H95" s="327"/>
      <c r="I95" s="327"/>
      <c r="J95" s="327"/>
      <c r="L95" s="294"/>
      <c r="M95" s="294"/>
    </row>
    <row r="96" spans="1:13">
      <c r="C96" s="328"/>
      <c r="D96" s="328"/>
      <c r="E96" s="327"/>
      <c r="F96" s="327"/>
      <c r="G96" s="327"/>
      <c r="H96" s="327"/>
      <c r="I96" s="327"/>
      <c r="J96" s="327"/>
      <c r="L96" s="294"/>
      <c r="M96" s="294"/>
    </row>
    <row r="97" spans="2:13">
      <c r="B97" s="31" t="s">
        <v>152</v>
      </c>
      <c r="C97" s="328">
        <f>ROUND(($C$33*C59)/10,4)</f>
        <v>12.5318</v>
      </c>
      <c r="D97" s="328">
        <f>ROUND(($C$33*D59)/10,4)</f>
        <v>10.7669</v>
      </c>
      <c r="E97" s="327"/>
      <c r="F97" s="328">
        <f>ROUND(($C$33*F59)/10,4)</f>
        <v>8.1917000000000009</v>
      </c>
      <c r="G97" s="328">
        <f>ROUND(($C$33*G59)/10,4)</f>
        <v>8.2249999999999996</v>
      </c>
      <c r="H97" s="328">
        <f>ROUND(($C$33*H59)/10,4)</f>
        <v>10.5116</v>
      </c>
      <c r="I97" s="328">
        <f>ROUND(($C$33*K61)/10,4)</f>
        <v>8.0807000000000002</v>
      </c>
      <c r="J97" s="328">
        <f>+I97</f>
        <v>8.0807000000000002</v>
      </c>
      <c r="L97" s="294"/>
      <c r="M97" s="294"/>
    </row>
    <row r="98" spans="2:13">
      <c r="B98" s="261" t="s">
        <v>169</v>
      </c>
      <c r="C98" s="327"/>
      <c r="D98" s="327"/>
      <c r="E98" s="328">
        <f>ROUND(($C$33*E60)/10,4)</f>
        <v>19.524699999999999</v>
      </c>
      <c r="F98" s="327"/>
      <c r="G98" s="327"/>
      <c r="H98" s="327"/>
      <c r="I98" s="327"/>
      <c r="J98" s="327"/>
      <c r="L98" s="294"/>
      <c r="M98" s="294"/>
    </row>
    <row r="99" spans="2:13">
      <c r="B99" s="261" t="s">
        <v>170</v>
      </c>
      <c r="C99" s="327"/>
      <c r="D99" s="327"/>
      <c r="E99" s="328">
        <f>ROUND(($C$33*E61)/10,4)</f>
        <v>7.8475999999999999</v>
      </c>
      <c r="F99" s="327"/>
      <c r="G99" s="327"/>
      <c r="H99" s="327"/>
      <c r="I99" s="327"/>
      <c r="J99" s="327"/>
      <c r="L99" s="294"/>
      <c r="M99" s="294"/>
    </row>
    <row r="100" spans="2:13">
      <c r="C100" s="327"/>
      <c r="D100" s="327"/>
      <c r="E100" s="328"/>
      <c r="F100" s="327"/>
      <c r="G100" s="327"/>
      <c r="H100" s="327"/>
      <c r="I100" s="327"/>
      <c r="J100" s="327"/>
      <c r="L100" s="294"/>
      <c r="M100" s="294"/>
    </row>
    <row r="103" spans="2:13">
      <c r="B103" s="10" t="s">
        <v>344</v>
      </c>
    </row>
    <row r="104" spans="2:13">
      <c r="B104" s="11" t="s">
        <v>218</v>
      </c>
    </row>
    <row r="105" spans="2:13">
      <c r="B105" s="8"/>
    </row>
    <row r="106" spans="2:13">
      <c r="C106" s="5" t="str">
        <f>+C69</f>
        <v>GLP</v>
      </c>
      <c r="D106" s="5"/>
      <c r="E106" s="5" t="str">
        <f>+E69</f>
        <v>LPL-S</v>
      </c>
      <c r="F106" s="5"/>
      <c r="H106" s="10" t="s">
        <v>219</v>
      </c>
      <c r="I106" s="5" t="str">
        <f>+C106</f>
        <v>GLP</v>
      </c>
      <c r="J106" s="5" t="str">
        <f>+E106</f>
        <v>LPL-S</v>
      </c>
    </row>
    <row r="107" spans="2:13">
      <c r="F107" s="302"/>
    </row>
    <row r="108" spans="2:13">
      <c r="B108" s="31" t="s">
        <v>149</v>
      </c>
      <c r="C108" s="328">
        <f>ROUND(($C$33*C71+D71)/10,4)</f>
        <v>8.2606000000000002</v>
      </c>
      <c r="D108" s="328"/>
      <c r="E108" s="328"/>
      <c r="F108" s="297"/>
      <c r="H108" s="289" t="s">
        <v>220</v>
      </c>
    </row>
    <row r="109" spans="2:13">
      <c r="B109" s="261" t="s">
        <v>169</v>
      </c>
      <c r="C109" s="328"/>
      <c r="D109" s="328"/>
      <c r="E109" s="328">
        <f>ROUND(($C$33*E72+F72)/10,4)</f>
        <v>9.7067999999999994</v>
      </c>
      <c r="F109" s="298"/>
      <c r="H109" s="94" t="s">
        <v>221</v>
      </c>
      <c r="I109" s="329">
        <f>+I72</f>
        <v>10.020200000000001</v>
      </c>
      <c r="J109" s="329">
        <f>+J72</f>
        <v>10.020200000000001</v>
      </c>
      <c r="K109" s="109" t="s">
        <v>222</v>
      </c>
    </row>
    <row r="110" spans="2:13">
      <c r="B110" s="261" t="s">
        <v>170</v>
      </c>
      <c r="C110" s="328"/>
      <c r="D110" s="328"/>
      <c r="E110" s="328">
        <f>ROUND(($C$33*E73+F73)/10,4)</f>
        <v>6.6376999999999997</v>
      </c>
      <c r="F110" s="298"/>
      <c r="H110" s="94" t="s">
        <v>223</v>
      </c>
      <c r="I110" s="329">
        <f>+I73</f>
        <v>10.020200000000001</v>
      </c>
      <c r="J110" s="329">
        <f>+J73</f>
        <v>10.020200000000001</v>
      </c>
      <c r="K110" s="109" t="s">
        <v>222</v>
      </c>
    </row>
    <row r="111" spans="2:13">
      <c r="C111" s="328"/>
      <c r="D111" s="328"/>
      <c r="E111" s="328"/>
      <c r="F111" s="298"/>
      <c r="H111" s="94"/>
      <c r="I111" s="303"/>
      <c r="J111" s="303"/>
      <c r="K111" s="109"/>
    </row>
    <row r="112" spans="2:13">
      <c r="B112" s="31" t="s">
        <v>152</v>
      </c>
      <c r="C112" s="328">
        <f>ROUND(($C$33*C75+D75)/10,4)</f>
        <v>8.484</v>
      </c>
      <c r="D112" s="328"/>
      <c r="E112" s="328"/>
      <c r="F112" s="298"/>
      <c r="H112" s="289" t="s">
        <v>225</v>
      </c>
      <c r="I112" s="213"/>
      <c r="J112" s="213"/>
    </row>
    <row r="113" spans="1:12">
      <c r="B113" s="261" t="s">
        <v>169</v>
      </c>
      <c r="C113" s="328"/>
      <c r="D113" s="328"/>
      <c r="E113" s="328">
        <f>ROUND(($C$33*E76+F76)/10,4)</f>
        <v>9.0733999999999995</v>
      </c>
      <c r="F113" s="298"/>
      <c r="H113" s="94" t="s">
        <v>226</v>
      </c>
      <c r="I113" s="329">
        <f>+I76</f>
        <v>0</v>
      </c>
      <c r="J113" s="329">
        <f>+J76</f>
        <v>0</v>
      </c>
      <c r="K113" s="109" t="s">
        <v>227</v>
      </c>
    </row>
    <row r="114" spans="1:12">
      <c r="B114" s="261" t="s">
        <v>170</v>
      </c>
      <c r="C114" s="328"/>
      <c r="D114" s="328"/>
      <c r="E114" s="328">
        <f>ROUND(($C$33*E77+F77)/10,4)</f>
        <v>7.7809999999999997</v>
      </c>
      <c r="F114" s="298"/>
    </row>
    <row r="115" spans="1:12">
      <c r="C115" s="301"/>
      <c r="D115" s="297"/>
      <c r="E115" s="301"/>
      <c r="F115" s="297"/>
    </row>
    <row r="116" spans="1:12">
      <c r="C116" s="301"/>
      <c r="D116" s="297"/>
      <c r="E116" s="301"/>
      <c r="F116" s="297"/>
    </row>
    <row r="118" spans="1:12">
      <c r="A118" s="327" t="s">
        <v>345</v>
      </c>
      <c r="B118" s="10" t="s">
        <v>346</v>
      </c>
      <c r="C118" s="294"/>
      <c r="E118" s="294"/>
    </row>
    <row r="119" spans="1:12">
      <c r="C119" s="294"/>
      <c r="E119" s="294"/>
    </row>
    <row r="120" spans="1:12">
      <c r="C120" s="5" t="s">
        <v>8</v>
      </c>
      <c r="D120" s="5" t="s">
        <v>9</v>
      </c>
      <c r="E120" s="5" t="s">
        <v>10</v>
      </c>
      <c r="F120" s="5" t="s">
        <v>11</v>
      </c>
      <c r="G120" s="5" t="s">
        <v>12</v>
      </c>
      <c r="H120" s="5" t="s">
        <v>13</v>
      </c>
      <c r="I120" s="5" t="s">
        <v>14</v>
      </c>
      <c r="J120" s="5" t="s">
        <v>15</v>
      </c>
    </row>
    <row r="121" spans="1:12">
      <c r="B121" s="1" t="s">
        <v>347</v>
      </c>
    </row>
    <row r="122" spans="1:12">
      <c r="B122" s="40" t="s">
        <v>47</v>
      </c>
      <c r="C122" s="268">
        <f>+C94/100*'Attach2 - BidFactors'!O53+'Attach3 - AuctionRateResult'!C95/100*'Attach2 - BidFactors'!O54</f>
        <v>685615.490419687</v>
      </c>
      <c r="D122" s="268">
        <f>+D94/100*'Attach2 - BidFactors'!P53+'Attach3 - AuctionRateResult'!D95/100*'Attach2 - BidFactors'!P54</f>
        <v>1630.6901311559413</v>
      </c>
      <c r="E122" s="310">
        <f>+E91/100*'Attach2 - BidFactors'!Q50+E92/100*'Attach2 - BidFactors'!Q51</f>
        <v>9611.5257428749646</v>
      </c>
      <c r="F122" s="268">
        <f>+F90/100*'Attach2 - BidFactors'!R49</f>
        <v>5.1281340000000002</v>
      </c>
      <c r="G122" s="268">
        <f>+G90/100*'Attach2 - BidFactors'!S49</f>
        <v>7.1261000000000005E-2</v>
      </c>
      <c r="H122" s="268">
        <f>+H90/100*'Attach2 - BidFactors'!T49</f>
        <v>213.1900079014066</v>
      </c>
      <c r="I122" s="268">
        <f>+I90/100*'Attach2 - BidFactors'!U49</f>
        <v>2600.0301489999997</v>
      </c>
      <c r="J122" s="268">
        <f>+J90/100*'Attach2 - BidFactors'!V49</f>
        <v>5596.0682249999991</v>
      </c>
    </row>
    <row r="123" spans="1:12" ht="15.25">
      <c r="B123" s="40" t="s">
        <v>48</v>
      </c>
      <c r="C123" s="269">
        <f>+C97/100*'Attach2 - BidFactors'!O45</f>
        <v>977989.09803748911</v>
      </c>
      <c r="D123" s="269">
        <f>+D97/100*'Attach2 - BidFactors'!P45</f>
        <v>6100.3438250930903</v>
      </c>
      <c r="E123" s="269">
        <f>+E98/100*'Attach2 - BidFactors'!Q46+'Attach3 - AuctionRateResult'!E99/100*'Attach2 - BidFactors'!Q47</f>
        <v>11802.719530317641</v>
      </c>
      <c r="F123" s="269">
        <f>+F97/100*'Attach2 - BidFactors'!R45</f>
        <v>13.680139</v>
      </c>
      <c r="G123" s="269">
        <f>+G97/100*'Attach2 - BidFactors'!S45</f>
        <v>0.57574999999999998</v>
      </c>
      <c r="H123" s="269">
        <f>+H97/100*'Attach2 - BidFactors'!T45</f>
        <v>745.78428352232982</v>
      </c>
      <c r="I123" s="269">
        <f>+I97/100*'Attach2 - BidFactors'!U45</f>
        <v>7881.8339730000007</v>
      </c>
      <c r="J123" s="269">
        <f>+J97/100*'Attach2 - BidFactors'!V45</f>
        <v>17833.216023000001</v>
      </c>
    </row>
    <row r="124" spans="1:12">
      <c r="B124" s="40" t="s">
        <v>109</v>
      </c>
      <c r="C124" s="206">
        <f>+C123+C122</f>
        <v>1663604.588457176</v>
      </c>
      <c r="D124" s="206">
        <f t="shared" ref="D124:J124" si="4">+D123+D122</f>
        <v>7731.0339562490317</v>
      </c>
      <c r="E124" s="206">
        <f t="shared" si="4"/>
        <v>21414.245273192606</v>
      </c>
      <c r="F124" s="206">
        <f t="shared" si="4"/>
        <v>18.808273</v>
      </c>
      <c r="G124" s="206">
        <f t="shared" si="4"/>
        <v>0.647011</v>
      </c>
      <c r="H124" s="206">
        <f t="shared" si="4"/>
        <v>958.97429142373642</v>
      </c>
      <c r="I124" s="206">
        <f t="shared" si="4"/>
        <v>10481.864122000001</v>
      </c>
      <c r="J124" s="206">
        <f t="shared" si="4"/>
        <v>23429.284248</v>
      </c>
    </row>
    <row r="125" spans="1:12">
      <c r="B125" s="40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</row>
    <row r="126" spans="1:12">
      <c r="B126" s="40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</row>
    <row r="127" spans="1:12">
      <c r="B127" s="40"/>
      <c r="C127" s="5" t="s">
        <v>16</v>
      </c>
      <c r="D127" s="5" t="s">
        <v>16</v>
      </c>
      <c r="F127" s="5" t="s">
        <v>17</v>
      </c>
      <c r="G127" s="5" t="s">
        <v>17</v>
      </c>
      <c r="H127" s="206"/>
      <c r="I127" s="206"/>
      <c r="J127" s="206"/>
      <c r="K127" s="206"/>
      <c r="L127" s="206"/>
    </row>
    <row r="128" spans="1:12">
      <c r="B128" s="40"/>
      <c r="C128" s="5" t="s">
        <v>348</v>
      </c>
      <c r="D128" s="5" t="s">
        <v>349</v>
      </c>
      <c r="F128" s="5" t="s">
        <v>348</v>
      </c>
      <c r="G128" s="5" t="s">
        <v>349</v>
      </c>
      <c r="H128" s="206"/>
      <c r="I128" s="206"/>
      <c r="J128" s="206"/>
      <c r="K128" s="206"/>
      <c r="L128" s="206"/>
    </row>
    <row r="129" spans="2:12">
      <c r="B129" s="40"/>
      <c r="G129" s="206"/>
      <c r="H129" s="206"/>
      <c r="I129" s="206"/>
      <c r="J129" s="206"/>
      <c r="K129" s="206"/>
      <c r="L129" s="206"/>
    </row>
    <row r="130" spans="2:12">
      <c r="B130" s="40" t="s">
        <v>47</v>
      </c>
      <c r="C130" s="310">
        <f>+C108/100*'Attach2 - BidFactors'!W49</f>
        <v>182281.24717413139</v>
      </c>
      <c r="D130" s="310">
        <f>I109*'Attach2 - BidFactors'!K153*4+'Attach3 - AuctionRateResult'!I113*'Attach2 - BidFactors'!K155*4</f>
        <v>58489.911440000003</v>
      </c>
      <c r="F130" s="310">
        <f>+E109/100*'Attach2 - BidFactors'!X50+'Attach3 - AuctionRateResult'!E110/100*'Attach2 - BidFactors'!X51</f>
        <v>149025.56434846166</v>
      </c>
      <c r="G130" s="310">
        <f>'Attach3 - AuctionRateResult'!J109*'Attach2 - BidFactors'!L153*4+'Attach3 - AuctionRateResult'!J113*'Attach2 - BidFactors'!L155*4</f>
        <v>37708.016640000002</v>
      </c>
      <c r="H130" s="206"/>
      <c r="I130" s="206"/>
      <c r="J130" s="206"/>
      <c r="K130" s="206"/>
      <c r="L130" s="206"/>
    </row>
    <row r="131" spans="2:12" ht="15.25">
      <c r="B131" s="40" t="s">
        <v>48</v>
      </c>
      <c r="C131" s="330">
        <f>+C112/100*'Attach2 - BidFactors'!W45</f>
        <v>330331.60235987417</v>
      </c>
      <c r="D131" s="330">
        <f>'Attach3 - AuctionRateResult'!I110*'Attach2 - BidFactors'!K153*8+'Attach3 - AuctionRateResult'!I113*'Attach2 - BidFactors'!K155*8</f>
        <v>116979.82288000001</v>
      </c>
      <c r="F131" s="330">
        <f>+E113/100*'Attach2 - BidFactors'!X46+'Attach3 - AuctionRateResult'!E114/100*'Attach2 - BidFactors'!X47</f>
        <v>275584.62427525956</v>
      </c>
      <c r="G131" s="330">
        <f>'Attach3 - AuctionRateResult'!J110*'Attach2 - BidFactors'!L153*8+'Attach3 - AuctionRateResult'!J113*'Attach2 - BidFactors'!L155*8</f>
        <v>75416.033280000003</v>
      </c>
      <c r="H131" s="206"/>
      <c r="I131" s="206"/>
      <c r="J131" s="206"/>
      <c r="K131" s="206"/>
      <c r="L131" s="206"/>
    </row>
    <row r="132" spans="2:12">
      <c r="B132" s="40" t="s">
        <v>109</v>
      </c>
      <c r="C132" s="206">
        <f>+C131+C130</f>
        <v>512612.84953400557</v>
      </c>
      <c r="D132" s="206">
        <f>+D131+D130</f>
        <v>175469.73432000002</v>
      </c>
      <c r="F132" s="206">
        <f>+F131+F130</f>
        <v>424610.18862372125</v>
      </c>
      <c r="G132" s="206">
        <f>+G131+G130</f>
        <v>113124.04992</v>
      </c>
      <c r="H132" s="206"/>
      <c r="I132" s="206"/>
      <c r="J132" s="206"/>
      <c r="K132" s="206"/>
      <c r="L132" s="206"/>
    </row>
    <row r="133" spans="2:12">
      <c r="B133" s="40"/>
      <c r="C133" s="206"/>
      <c r="F133" s="206"/>
      <c r="G133" s="206"/>
      <c r="H133" s="206"/>
      <c r="I133" s="206"/>
      <c r="J133" s="206"/>
      <c r="K133" s="206"/>
      <c r="L133" s="206"/>
    </row>
    <row r="134" spans="2:12">
      <c r="B134" s="40"/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</row>
    <row r="135" spans="2:12">
      <c r="B135" s="40"/>
      <c r="C135" s="5" t="s">
        <v>348</v>
      </c>
      <c r="D135" s="5" t="s">
        <v>349</v>
      </c>
      <c r="E135" s="5" t="s">
        <v>350</v>
      </c>
      <c r="F135" s="206"/>
      <c r="G135" s="206"/>
      <c r="H135" s="206"/>
      <c r="I135" s="206"/>
      <c r="J135" s="206"/>
      <c r="K135" s="206"/>
      <c r="L135" s="206"/>
    </row>
    <row r="136" spans="2:12">
      <c r="B136" s="40" t="s">
        <v>287</v>
      </c>
      <c r="C136" s="206">
        <f>SUM(C122:J122)+C130+F130</f>
        <v>1036579.0055932124</v>
      </c>
      <c r="D136" s="206">
        <f>+D130+G130</f>
        <v>96197.928080000012</v>
      </c>
      <c r="E136" s="206">
        <f>+C136+D136</f>
        <v>1132776.9336732125</v>
      </c>
      <c r="F136" s="206"/>
      <c r="G136" s="206"/>
      <c r="H136" s="206"/>
      <c r="I136" s="206"/>
      <c r="J136" s="206"/>
      <c r="K136" s="206"/>
      <c r="L136" s="206"/>
    </row>
    <row r="137" spans="2:12" ht="15.25">
      <c r="B137" s="40" t="s">
        <v>288</v>
      </c>
      <c r="C137" s="325">
        <f>SUM(C123:J123)+C131+F131</f>
        <v>1628283.4781965557</v>
      </c>
      <c r="D137" s="325">
        <f>+D131+G131</f>
        <v>192395.85616000002</v>
      </c>
      <c r="E137" s="325">
        <f>+C137+D137</f>
        <v>1820679.3343565557</v>
      </c>
    </row>
    <row r="138" spans="2:12">
      <c r="B138" s="40" t="s">
        <v>289</v>
      </c>
      <c r="C138" s="206">
        <f>+C137+C136</f>
        <v>2664862.4837897681</v>
      </c>
      <c r="D138" s="206">
        <f>+D132+G132</f>
        <v>288593.78424000001</v>
      </c>
      <c r="E138" s="331">
        <f>+C138+D138</f>
        <v>2953456.268029768</v>
      </c>
    </row>
    <row r="139" spans="2:12">
      <c r="B139" s="40"/>
      <c r="C139" s="294"/>
      <c r="E139" s="294"/>
    </row>
    <row r="140" spans="2:12"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>
      <c r="B141" s="1" t="s">
        <v>290</v>
      </c>
    </row>
    <row r="142" spans="2:12">
      <c r="B142" s="40" t="s">
        <v>47</v>
      </c>
      <c r="C142" s="206">
        <f>+C25+D25+E25</f>
        <v>1148962.8281942569</v>
      </c>
    </row>
    <row r="143" spans="2:12" ht="15.25">
      <c r="B143" s="40" t="s">
        <v>48</v>
      </c>
      <c r="C143" s="325">
        <f>+C26+D26+E26</f>
        <v>1805003.4689001443</v>
      </c>
      <c r="E143" s="332"/>
      <c r="F143" s="333"/>
      <c r="G143" s="333"/>
      <c r="H143" s="334"/>
    </row>
    <row r="144" spans="2:12">
      <c r="B144" s="40" t="s">
        <v>109</v>
      </c>
      <c r="C144" s="206">
        <f>+C143+C142</f>
        <v>2953966.297094401</v>
      </c>
      <c r="E144" s="335" t="s">
        <v>351</v>
      </c>
      <c r="H144" s="336"/>
    </row>
    <row r="145" spans="1:10">
      <c r="C145" s="294"/>
      <c r="E145" s="335" t="s">
        <v>352</v>
      </c>
      <c r="F145" s="11" t="s">
        <v>353</v>
      </c>
      <c r="H145" s="336"/>
    </row>
    <row r="146" spans="1:10">
      <c r="B146" s="4" t="s">
        <v>354</v>
      </c>
      <c r="C146" s="232"/>
      <c r="D146" s="232"/>
      <c r="E146" s="337" t="s">
        <v>355</v>
      </c>
      <c r="H146" s="336"/>
    </row>
    <row r="147" spans="1:10">
      <c r="B147" s="40" t="s">
        <v>47</v>
      </c>
      <c r="C147" s="206">
        <f>+C142-E136</f>
        <v>16185.894521044334</v>
      </c>
      <c r="D147" s="338"/>
      <c r="E147" s="339">
        <f>ROUND(1+(C147/C136),5)</f>
        <v>1.0156099999999999</v>
      </c>
      <c r="H147" s="336"/>
    </row>
    <row r="148" spans="1:10" ht="15.25">
      <c r="B148" s="40" t="s">
        <v>48</v>
      </c>
      <c r="C148" s="325">
        <f>+C143-E137</f>
        <v>-15675.865456411382</v>
      </c>
      <c r="D148" s="338"/>
      <c r="E148" s="339">
        <f>ROUND(1+(C148/C137),5)</f>
        <v>0.99036999999999997</v>
      </c>
      <c r="H148" s="336"/>
    </row>
    <row r="149" spans="1:10">
      <c r="B149" s="40" t="s">
        <v>109</v>
      </c>
      <c r="C149" s="206">
        <f>+C144-E138</f>
        <v>510.02906463295221</v>
      </c>
      <c r="D149" s="338"/>
      <c r="E149" s="340"/>
      <c r="F149" s="254"/>
      <c r="G149" s="254"/>
      <c r="H149" s="341"/>
    </row>
    <row r="151" spans="1:10">
      <c r="C151" s="1" t="s">
        <v>356</v>
      </c>
    </row>
    <row r="152" spans="1:10">
      <c r="C152" s="1" t="s">
        <v>357</v>
      </c>
    </row>
    <row r="154" spans="1:10">
      <c r="A154" s="327" t="s">
        <v>358</v>
      </c>
      <c r="B154" s="208" t="s">
        <v>359</v>
      </c>
      <c r="C154" s="294"/>
      <c r="E154" s="294"/>
    </row>
    <row r="155" spans="1:10">
      <c r="B155" s="11" t="s">
        <v>342</v>
      </c>
    </row>
    <row r="157" spans="1:10">
      <c r="B157" s="10" t="s">
        <v>343</v>
      </c>
    </row>
    <row r="158" spans="1:10">
      <c r="B158" s="11" t="s">
        <v>360</v>
      </c>
    </row>
    <row r="159" spans="1:10">
      <c r="B159" s="10"/>
    </row>
    <row r="160" spans="1:10">
      <c r="C160" s="5" t="str">
        <f>+C120</f>
        <v>RS</v>
      </c>
      <c r="D160" s="5" t="str">
        <f t="shared" ref="D160:J160" si="5">+D120</f>
        <v>RHS</v>
      </c>
      <c r="E160" s="5" t="str">
        <f t="shared" si="5"/>
        <v>RLM</v>
      </c>
      <c r="F160" s="5" t="str">
        <f t="shared" si="5"/>
        <v>WH</v>
      </c>
      <c r="G160" s="5" t="str">
        <f t="shared" si="5"/>
        <v>WHS</v>
      </c>
      <c r="H160" s="5" t="str">
        <f t="shared" si="5"/>
        <v>HS</v>
      </c>
      <c r="I160" s="5" t="str">
        <f t="shared" si="5"/>
        <v>PSAL</v>
      </c>
      <c r="J160" s="5" t="str">
        <f t="shared" si="5"/>
        <v>BPL</v>
      </c>
    </row>
    <row r="161" spans="2:10">
      <c r="C161" s="327"/>
      <c r="D161" s="327"/>
      <c r="E161" s="327"/>
      <c r="F161" s="328"/>
      <c r="G161" s="328"/>
      <c r="H161" s="328"/>
      <c r="I161" s="328"/>
      <c r="J161" s="328"/>
    </row>
    <row r="162" spans="2:10">
      <c r="B162" s="31" t="s">
        <v>149</v>
      </c>
      <c r="C162" s="327"/>
      <c r="D162" s="327"/>
      <c r="E162" s="327"/>
      <c r="F162" s="328">
        <f>ROUND(+F90*$E$147,4)</f>
        <v>7.8912000000000004</v>
      </c>
      <c r="G162" s="328">
        <f>ROUND(+G90*$E$147,4)</f>
        <v>7.2373000000000003</v>
      </c>
      <c r="H162" s="328">
        <f>ROUND(+H90*$E$147,4)</f>
        <v>10.1007</v>
      </c>
      <c r="I162" s="328">
        <f>ROUND(+I90*$E$147,4)</f>
        <v>7.1021000000000001</v>
      </c>
      <c r="J162" s="328">
        <f>ROUND(+J90*$E$147,4)</f>
        <v>7.1021000000000001</v>
      </c>
    </row>
    <row r="163" spans="2:10">
      <c r="B163" s="261" t="s">
        <v>169</v>
      </c>
      <c r="C163" s="327"/>
      <c r="D163" s="327"/>
      <c r="E163" s="328">
        <f>ROUND(+E91*$E$147,4)</f>
        <v>20.472100000000001</v>
      </c>
      <c r="G163" s="328"/>
      <c r="H163" s="328"/>
      <c r="I163" s="328"/>
      <c r="J163" s="327"/>
    </row>
    <row r="164" spans="2:10">
      <c r="B164" s="261" t="s">
        <v>170</v>
      </c>
      <c r="C164" s="327"/>
      <c r="D164" s="327"/>
      <c r="E164" s="328">
        <f>ROUND(+E92*$E$147,4)</f>
        <v>6.7526000000000002</v>
      </c>
      <c r="F164" s="327"/>
      <c r="G164" s="327"/>
      <c r="H164" s="327"/>
      <c r="I164" s="327"/>
      <c r="J164" s="327"/>
    </row>
    <row r="165" spans="2:10">
      <c r="B165" s="299"/>
      <c r="C165" s="327"/>
      <c r="D165" s="327"/>
      <c r="E165" s="327"/>
      <c r="F165" s="327"/>
      <c r="G165" s="327"/>
      <c r="H165" s="327"/>
      <c r="I165" s="327"/>
      <c r="J165" s="327"/>
    </row>
    <row r="166" spans="2:10">
      <c r="B166" s="6" t="s">
        <v>244</v>
      </c>
      <c r="C166" s="328">
        <f>ROUND(+C94*$E$147,4)</f>
        <v>12.145799999999999</v>
      </c>
      <c r="D166" s="328">
        <f>ROUND(+D94*$E$147,4)</f>
        <v>10.029400000000001</v>
      </c>
      <c r="E166" s="327"/>
      <c r="F166" s="327"/>
      <c r="G166" s="327"/>
      <c r="H166" s="327"/>
      <c r="I166" s="327"/>
      <c r="J166" s="327"/>
    </row>
    <row r="167" spans="2:10">
      <c r="B167" s="6" t="s">
        <v>245</v>
      </c>
      <c r="C167" s="328">
        <f>ROUND(+C95*$E$147,4)</f>
        <v>13.0245</v>
      </c>
      <c r="D167" s="328">
        <f>ROUND(+D95*$E$147,4)</f>
        <v>11.2043</v>
      </c>
      <c r="E167" s="327"/>
      <c r="F167" s="327"/>
      <c r="G167" s="327"/>
      <c r="H167" s="327"/>
      <c r="I167" s="327"/>
      <c r="J167" s="327"/>
    </row>
    <row r="168" spans="2:10">
      <c r="C168" s="328"/>
      <c r="D168" s="328"/>
      <c r="E168" s="327"/>
      <c r="F168" s="327"/>
      <c r="G168" s="327"/>
      <c r="H168" s="327"/>
      <c r="I168" s="327"/>
      <c r="J168" s="327"/>
    </row>
    <row r="169" spans="2:10">
      <c r="B169" s="31" t="s">
        <v>152</v>
      </c>
      <c r="C169" s="328">
        <f>ROUND(+C97*$E$148,4)</f>
        <v>12.411099999999999</v>
      </c>
      <c r="D169" s="328">
        <f>ROUND(+D97*$E$148,4)</f>
        <v>10.6632</v>
      </c>
      <c r="E169" s="327"/>
      <c r="F169" s="328">
        <f>ROUND(+F97*$E$148,4)</f>
        <v>8.1128</v>
      </c>
      <c r="G169" s="328">
        <f>ROUND(+G97*$E$148,4)</f>
        <v>8.1457999999999995</v>
      </c>
      <c r="H169" s="328">
        <f>ROUND(+H97*$E$148,4)</f>
        <v>10.410399999999999</v>
      </c>
      <c r="I169" s="328">
        <f>ROUND(+I97*$E$148,4)</f>
        <v>8.0029000000000003</v>
      </c>
      <c r="J169" s="328">
        <f>ROUND(+J97*$E$148,4)</f>
        <v>8.0029000000000003</v>
      </c>
    </row>
    <row r="170" spans="2:10">
      <c r="B170" s="261" t="s">
        <v>169</v>
      </c>
      <c r="C170" s="327"/>
      <c r="D170" s="327"/>
      <c r="E170" s="328">
        <f>ROUND(+E98*$E$148,4)</f>
        <v>19.3367</v>
      </c>
      <c r="F170" s="327"/>
      <c r="G170" s="327"/>
      <c r="H170" s="327"/>
      <c r="I170" s="327"/>
      <c r="J170" s="327"/>
    </row>
    <row r="171" spans="2:10">
      <c r="B171" s="261" t="s">
        <v>170</v>
      </c>
      <c r="C171" s="327"/>
      <c r="D171" s="327"/>
      <c r="E171" s="328">
        <f>ROUND(+E99*$E$148,4)</f>
        <v>7.7720000000000002</v>
      </c>
      <c r="F171" s="327"/>
      <c r="G171" s="327"/>
      <c r="H171" s="327"/>
      <c r="I171" s="327"/>
      <c r="J171" s="327"/>
    </row>
    <row r="172" spans="2:10">
      <c r="C172" s="327"/>
      <c r="D172" s="327"/>
      <c r="E172" s="328"/>
      <c r="F172" s="327"/>
      <c r="G172" s="327"/>
      <c r="H172" s="327"/>
      <c r="I172" s="327"/>
      <c r="J172" s="327"/>
    </row>
    <row r="175" spans="2:10">
      <c r="B175" s="10" t="s">
        <v>344</v>
      </c>
    </row>
    <row r="176" spans="2:10">
      <c r="B176" s="11" t="s">
        <v>361</v>
      </c>
    </row>
    <row r="177" spans="1:12">
      <c r="B177" s="8"/>
    </row>
    <row r="178" spans="1:12">
      <c r="C178" s="5" t="str">
        <f>+C106</f>
        <v>GLP</v>
      </c>
      <c r="D178" s="5"/>
      <c r="E178" s="5" t="str">
        <f>+E106</f>
        <v>LPL-S</v>
      </c>
      <c r="F178" s="5"/>
      <c r="H178" s="10" t="s">
        <v>219</v>
      </c>
      <c r="I178" s="5" t="str">
        <f>+C178</f>
        <v>GLP</v>
      </c>
      <c r="J178" s="5" t="str">
        <f>+E178</f>
        <v>LPL-S</v>
      </c>
    </row>
    <row r="179" spans="1:12">
      <c r="F179" s="302"/>
    </row>
    <row r="180" spans="1:12">
      <c r="B180" s="31" t="s">
        <v>149</v>
      </c>
      <c r="C180" s="328">
        <f>ROUND(+C108*$E$147,4)</f>
        <v>8.3895</v>
      </c>
      <c r="D180" s="328"/>
      <c r="E180" s="328"/>
      <c r="F180" s="297"/>
      <c r="H180" s="289" t="s">
        <v>220</v>
      </c>
    </row>
    <row r="181" spans="1:12">
      <c r="B181" s="261" t="s">
        <v>169</v>
      </c>
      <c r="C181" s="328"/>
      <c r="D181" s="328"/>
      <c r="E181" s="328">
        <f>ROUND(+E109*$E$147,4)</f>
        <v>9.8582999999999998</v>
      </c>
      <c r="F181" s="298"/>
      <c r="H181" s="94" t="s">
        <v>221</v>
      </c>
      <c r="I181" s="342">
        <f>+I109</f>
        <v>10.020200000000001</v>
      </c>
      <c r="J181" s="342">
        <f>+J109</f>
        <v>10.020200000000001</v>
      </c>
    </row>
    <row r="182" spans="1:12">
      <c r="B182" s="261" t="s">
        <v>170</v>
      </c>
      <c r="C182" s="328"/>
      <c r="D182" s="328"/>
      <c r="E182" s="328">
        <f>ROUND(+E110*$E$147,4)</f>
        <v>6.7412999999999998</v>
      </c>
      <c r="F182" s="298"/>
      <c r="H182" s="94" t="s">
        <v>223</v>
      </c>
      <c r="I182" s="342">
        <f>+I110</f>
        <v>10.020200000000001</v>
      </c>
      <c r="J182" s="342">
        <f>+J110</f>
        <v>10.020200000000001</v>
      </c>
    </row>
    <row r="183" spans="1:12">
      <c r="C183" s="328"/>
      <c r="D183" s="328"/>
      <c r="E183" s="328"/>
      <c r="F183" s="298"/>
      <c r="H183" s="94"/>
      <c r="I183" s="303"/>
      <c r="J183" s="303"/>
    </row>
    <row r="184" spans="1:12">
      <c r="B184" s="31" t="s">
        <v>152</v>
      </c>
      <c r="C184" s="328">
        <f>ROUND(+C112*$E$148,4)</f>
        <v>8.4023000000000003</v>
      </c>
      <c r="D184" s="328"/>
      <c r="E184" s="328"/>
      <c r="F184" s="298"/>
      <c r="H184" s="289" t="s">
        <v>225</v>
      </c>
      <c r="I184" s="213"/>
      <c r="J184" s="213"/>
    </row>
    <row r="185" spans="1:12">
      <c r="B185" s="261" t="s">
        <v>169</v>
      </c>
      <c r="C185" s="328"/>
      <c r="D185" s="328"/>
      <c r="E185" s="328">
        <f>ROUND(+E113*$E$148,4)</f>
        <v>8.9860000000000007</v>
      </c>
      <c r="F185" s="298"/>
      <c r="H185" s="94" t="s">
        <v>226</v>
      </c>
      <c r="I185" s="342">
        <f>+I113</f>
        <v>0</v>
      </c>
      <c r="J185" s="342">
        <f>+J113</f>
        <v>0</v>
      </c>
    </row>
    <row r="186" spans="1:12">
      <c r="B186" s="261" t="s">
        <v>170</v>
      </c>
      <c r="C186" s="328"/>
      <c r="D186" s="328"/>
      <c r="E186" s="328">
        <f>ROUND(+E114*$E$148,4)</f>
        <v>7.7061000000000002</v>
      </c>
      <c r="F186" s="298"/>
    </row>
    <row r="190" spans="1:12">
      <c r="A190" s="327" t="s">
        <v>362</v>
      </c>
      <c r="B190" s="10" t="s">
        <v>363</v>
      </c>
      <c r="C190" s="294"/>
      <c r="E190" s="294"/>
    </row>
    <row r="191" spans="1:12">
      <c r="C191" s="294"/>
      <c r="E191" s="294"/>
    </row>
    <row r="192" spans="1:12">
      <c r="C192" s="5" t="s">
        <v>8</v>
      </c>
      <c r="D192" s="5" t="s">
        <v>9</v>
      </c>
      <c r="E192" s="5" t="s">
        <v>10</v>
      </c>
      <c r="F192" s="5" t="s">
        <v>11</v>
      </c>
      <c r="G192" s="5" t="s">
        <v>12</v>
      </c>
      <c r="H192" s="5" t="s">
        <v>13</v>
      </c>
      <c r="I192" s="5" t="s">
        <v>14</v>
      </c>
      <c r="J192" s="5" t="s">
        <v>15</v>
      </c>
      <c r="K192" s="5" t="s">
        <v>16</v>
      </c>
      <c r="L192" s="5" t="s">
        <v>17</v>
      </c>
    </row>
    <row r="193" spans="2:12">
      <c r="B193" s="1" t="s">
        <v>286</v>
      </c>
    </row>
    <row r="194" spans="2:12">
      <c r="B194" s="40" t="s">
        <v>47</v>
      </c>
      <c r="C194" s="268">
        <f>+C166/100*'Attach2 - BidFactors'!O53+'Attach3 - AuctionRateResult'!C167/100*'Attach2 - BidFactors'!O54</f>
        <v>696318.86527862924</v>
      </c>
      <c r="D194" s="268">
        <f>+D166/100*'Attach2 - BidFactors'!P53+'Attach3 - AuctionRateResult'!D167/100*'Attach2 - BidFactors'!P54</f>
        <v>1656.1496600447958</v>
      </c>
      <c r="E194" s="310">
        <f>+E163/100*'Attach2 - BidFactors'!Q50+E164/100*'Attach2 - BidFactors'!Q51</f>
        <v>9761.581416142757</v>
      </c>
      <c r="F194" s="268">
        <f>+F162/100*'Attach2 - BidFactors'!R49</f>
        <v>5.2081920000000004</v>
      </c>
      <c r="G194" s="268">
        <f>+G162/100*'Attach2 - BidFactors'!S49</f>
        <v>7.2373000000000007E-2</v>
      </c>
      <c r="H194" s="268">
        <f>+H162/100*'Attach2 - BidFactors'!T49</f>
        <v>216.51684810313589</v>
      </c>
      <c r="I194" s="268">
        <f>+I162/100*'Attach2 - BidFactors'!U49</f>
        <v>2640.631801</v>
      </c>
      <c r="J194" s="268">
        <f>+J162/100*'Attach2 - BidFactors'!V49</f>
        <v>5683.4555250000003</v>
      </c>
      <c r="K194" s="310">
        <f>+C180/100*'Attach2 - BidFactors'!W49+I181*'Attach2 - BidFactors'!K153*4+'Attach3 - AuctionRateResult'!I185*'Attach2 - BidFactors'!K155*4</f>
        <v>243615.51044822886</v>
      </c>
      <c r="L194" s="310">
        <f>+E181/100*'Attach2 - BidFactors'!X50+'Attach3 - AuctionRateResult'!E182/100*'Attach2 - BidFactors'!X51+'Attach3 - AuctionRateResult'!J181*'Attach2 - BidFactors'!L153*4+'Attach3 - AuctionRateResult'!J185*'Attach2 - BidFactors'!L155*4</f>
        <v>189059.52722436335</v>
      </c>
    </row>
    <row r="195" spans="2:12" ht="15.25">
      <c r="B195" s="40" t="s">
        <v>48</v>
      </c>
      <c r="C195" s="269">
        <f>+C169/100*'Attach2 - BidFactors'!O45</f>
        <v>968569.59851362777</v>
      </c>
      <c r="D195" s="269">
        <f>+D169/100*'Attach2 - BidFactors'!P45</f>
        <v>6041.5891552566336</v>
      </c>
      <c r="E195" s="269">
        <f>+E170/100*'Attach2 - BidFactors'!Q46+'Attach3 - AuctionRateResult'!E171/100*'Attach2 - BidFactors'!Q47</f>
        <v>11689.053590369782</v>
      </c>
      <c r="F195" s="269">
        <f>+F169/100*'Attach2 - BidFactors'!R45</f>
        <v>13.548376000000001</v>
      </c>
      <c r="G195" s="269">
        <f>+G169/100*'Attach2 - BidFactors'!S45</f>
        <v>0.57020599999999988</v>
      </c>
      <c r="H195" s="269">
        <f>+H169/100*'Attach2 - BidFactors'!T45</f>
        <v>738.60427576970778</v>
      </c>
      <c r="I195" s="269">
        <f>+I169/100*'Attach2 - BidFactors'!U45</f>
        <v>7805.9486310000002</v>
      </c>
      <c r="J195" s="269">
        <f>+J169/100*'Attach2 - BidFactors'!V45</f>
        <v>17661.519981000001</v>
      </c>
      <c r="K195" s="330">
        <f>+C184/100*'Attach2 - BidFactors'!W45+'Attach3 - AuctionRateResult'!I182*'Attach2 - BidFactors'!K153*8+'Attach3 - AuctionRateResult'!I185*'Attach2 - BidFactors'!K155*8</f>
        <v>444130.36773011443</v>
      </c>
      <c r="L195" s="330">
        <f>+E185/100*'Attach2 - BidFactors'!X46+'Attach3 - AuctionRateResult'!E186/100*'Attach2 - BidFactors'!X47+'Attach3 - AuctionRateResult'!J182*'Attach2 - BidFactors'!L153*8+'Attach3 - AuctionRateResult'!J185*'Attach2 - BidFactors'!L155*8</f>
        <v>348346.95521180169</v>
      </c>
    </row>
    <row r="196" spans="2:12">
      <c r="B196" s="40" t="s">
        <v>109</v>
      </c>
      <c r="C196" s="206">
        <f t="shared" ref="C196:L196" si="6">+C195+C194</f>
        <v>1664888.463792257</v>
      </c>
      <c r="D196" s="206">
        <f t="shared" si="6"/>
        <v>7697.738815301429</v>
      </c>
      <c r="E196" s="206">
        <f t="shared" si="6"/>
        <v>21450.635006512537</v>
      </c>
      <c r="F196" s="206">
        <f t="shared" si="6"/>
        <v>18.756568000000001</v>
      </c>
      <c r="G196" s="206">
        <f t="shared" si="6"/>
        <v>0.6425789999999999</v>
      </c>
      <c r="H196" s="206">
        <f t="shared" si="6"/>
        <v>955.12112387284367</v>
      </c>
      <c r="I196" s="206">
        <f t="shared" si="6"/>
        <v>10446.580432000001</v>
      </c>
      <c r="J196" s="206">
        <f t="shared" si="6"/>
        <v>23344.975506000002</v>
      </c>
      <c r="K196" s="206">
        <f t="shared" si="6"/>
        <v>687745.87817834329</v>
      </c>
      <c r="L196" s="206">
        <f t="shared" si="6"/>
        <v>537406.48243616498</v>
      </c>
    </row>
    <row r="197" spans="2:12">
      <c r="B197" s="40"/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</row>
    <row r="198" spans="2:12">
      <c r="B198" s="40" t="s">
        <v>287</v>
      </c>
      <c r="C198" s="206">
        <f>SUM(C194:L194)</f>
        <v>1148957.5187665122</v>
      </c>
      <c r="D198" s="206"/>
      <c r="E198" s="206"/>
      <c r="F198" s="206"/>
      <c r="G198" s="206"/>
      <c r="H198" s="206"/>
      <c r="I198" s="206"/>
      <c r="J198" s="206"/>
      <c r="K198" s="206"/>
      <c r="L198" s="206"/>
    </row>
    <row r="199" spans="2:12" ht="15.25">
      <c r="B199" s="40" t="s">
        <v>288</v>
      </c>
      <c r="C199" s="325">
        <f>SUM(C195:L195)</f>
        <v>1804997.75567094</v>
      </c>
      <c r="E199" s="294"/>
    </row>
    <row r="200" spans="2:12">
      <c r="B200" s="40" t="s">
        <v>289</v>
      </c>
      <c r="C200" s="206">
        <f>+C199+C198</f>
        <v>2953955.2744374522</v>
      </c>
      <c r="E200" s="294"/>
    </row>
    <row r="201" spans="2:12">
      <c r="B201" s="40"/>
      <c r="C201" s="294"/>
      <c r="E201" s="294"/>
    </row>
    <row r="202" spans="2:12"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>
      <c r="B203" s="1" t="s">
        <v>290</v>
      </c>
    </row>
    <row r="204" spans="2:12">
      <c r="B204" s="40" t="s">
        <v>47</v>
      </c>
      <c r="C204" s="206">
        <f>+C25+D25+E25</f>
        <v>1148962.8281942569</v>
      </c>
    </row>
    <row r="205" spans="2:12" ht="15.25">
      <c r="B205" s="40" t="s">
        <v>48</v>
      </c>
      <c r="C205" s="325">
        <f>+C26+D26+E26</f>
        <v>1805003.4689001443</v>
      </c>
    </row>
    <row r="206" spans="2:12">
      <c r="B206" s="40" t="s">
        <v>109</v>
      </c>
      <c r="C206" s="206">
        <f>+C205+C204</f>
        <v>2953966.297094401</v>
      </c>
      <c r="D206" s="206"/>
      <c r="G206" s="40"/>
    </row>
    <row r="207" spans="2:12">
      <c r="C207" s="294"/>
      <c r="E207" s="294"/>
      <c r="G207" s="40"/>
    </row>
    <row r="208" spans="2:12">
      <c r="B208" s="4" t="s">
        <v>354</v>
      </c>
      <c r="C208" s="206"/>
      <c r="E208" s="281" t="s">
        <v>364</v>
      </c>
      <c r="G208" s="281"/>
    </row>
    <row r="209" spans="2:5">
      <c r="B209" s="40" t="s">
        <v>47</v>
      </c>
      <c r="C209" s="206">
        <f>+C198-C204</f>
        <v>-5.3094277447089553</v>
      </c>
      <c r="E209" s="338">
        <f>+C209/C198</f>
        <v>-4.6210827275920559E-6</v>
      </c>
    </row>
    <row r="210" spans="2:5" ht="15.25">
      <c r="B210" s="40" t="s">
        <v>48</v>
      </c>
      <c r="C210" s="325">
        <f>+C199-C205</f>
        <v>-5.7132292042952031</v>
      </c>
      <c r="E210" s="343">
        <f>+C210/C199</f>
        <v>-3.1652278715280312E-6</v>
      </c>
    </row>
    <row r="211" spans="2:5">
      <c r="B211" s="40" t="s">
        <v>109</v>
      </c>
      <c r="C211" s="206">
        <f>+C200-C206</f>
        <v>-11.022656948771328</v>
      </c>
      <c r="E211" s="338">
        <f>+C211/C200</f>
        <v>-3.7314908062954575E-6</v>
      </c>
    </row>
    <row r="213" spans="2:5">
      <c r="C213" s="122"/>
    </row>
  </sheetData>
  <mergeCells count="1">
    <mergeCell ref="O1:R2"/>
  </mergeCells>
  <pageMargins left="0.75" right="0.75" top="1" bottom="1" header="0.5" footer="0.5"/>
  <pageSetup scale="68" fitToHeight="0" orientation="landscape" r:id="rId1"/>
  <headerFooter alignWithMargins="0">
    <oddHeader>&amp;CPublic Service Electric and Gas Company Specific Addendum
Attachment 3</oddHeader>
    <oddFooter>&amp;CPage &amp;P of &amp;N</oddFooter>
  </headerFooter>
  <rowBreaks count="7" manualBreakCount="7">
    <brk id="41" max="11" man="1"/>
    <brk id="80" max="11" man="1"/>
    <brk id="116" max="11" man="1"/>
    <brk id="152" max="11" man="1"/>
    <brk id="188" max="11" man="1"/>
    <brk id="213" max="11" man="1"/>
    <brk id="25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9D97-8430-4188-8DAC-C3F066348EB6}">
  <sheetPr codeName="Sheet40">
    <pageSetUpPr fitToPage="1"/>
  </sheetPr>
  <dimension ref="A1:Q135"/>
  <sheetViews>
    <sheetView view="pageBreakPreview" zoomScaleNormal="100" zoomScaleSheetLayoutView="100" workbookViewId="0"/>
  </sheetViews>
  <sheetFormatPr defaultColWidth="9.26953125" defaultRowHeight="13"/>
  <cols>
    <col min="1" max="1" width="3.26953125" style="344" bestFit="1" customWidth="1"/>
    <col min="2" max="2" width="62.54296875" style="344" bestFit="1" customWidth="1"/>
    <col min="3" max="4" width="29.40625" style="344" customWidth="1"/>
    <col min="5" max="5" width="1.54296875" style="344" customWidth="1"/>
    <col min="6" max="6" width="58.54296875" style="344" customWidth="1"/>
    <col min="7" max="7" width="2.7265625" style="344" customWidth="1"/>
    <col min="8" max="8" width="17.7265625" style="344" customWidth="1"/>
    <col min="9" max="13" width="9.26953125" style="344"/>
    <col min="14" max="14" width="34.26953125" style="344" customWidth="1"/>
    <col min="15" max="15" width="46.1328125" style="344" customWidth="1"/>
    <col min="16" max="16" width="49.7265625" style="344" customWidth="1"/>
    <col min="17" max="17" width="32.40625" style="478" customWidth="1"/>
    <col min="18" max="16384" width="9.26953125" style="344"/>
  </cols>
  <sheetData>
    <row r="1" spans="1:17" ht="42.65" customHeight="1">
      <c r="B1" s="345" t="s">
        <v>365</v>
      </c>
      <c r="H1" s="508"/>
      <c r="I1" s="508"/>
      <c r="J1" s="508"/>
      <c r="K1" s="508"/>
      <c r="L1" s="508"/>
      <c r="M1" s="508"/>
      <c r="N1" s="508"/>
      <c r="O1" s="509"/>
      <c r="P1" s="509"/>
    </row>
    <row r="2" spans="1:17" ht="74.25" customHeight="1">
      <c r="B2" s="345" t="s">
        <v>366</v>
      </c>
      <c r="C2" s="346" t="s">
        <v>367</v>
      </c>
      <c r="D2" s="346" t="s">
        <v>368</v>
      </c>
      <c r="H2" s="508"/>
      <c r="I2" s="508"/>
      <c r="J2" s="508"/>
      <c r="K2" s="508"/>
      <c r="L2" s="508"/>
      <c r="M2" s="508"/>
      <c r="N2" s="508"/>
      <c r="O2" s="509"/>
      <c r="P2" s="509"/>
      <c r="Q2" s="479" t="s">
        <v>421</v>
      </c>
    </row>
    <row r="3" spans="1:17" ht="26">
      <c r="C3" s="346" t="s">
        <v>370</v>
      </c>
      <c r="D3" s="346" t="s">
        <v>370</v>
      </c>
      <c r="F3" s="312" t="s">
        <v>300</v>
      </c>
      <c r="I3" s="474"/>
      <c r="J3" s="475"/>
      <c r="K3" s="475"/>
      <c r="Q3" s="479" t="s">
        <v>370</v>
      </c>
    </row>
    <row r="4" spans="1:17">
      <c r="A4" s="344">
        <v>1</v>
      </c>
      <c r="B4" s="347" t="s">
        <v>371</v>
      </c>
      <c r="C4" s="348">
        <v>329.43</v>
      </c>
      <c r="D4" s="348">
        <f>C4</f>
        <v>329.43</v>
      </c>
      <c r="F4" s="349" t="s">
        <v>372</v>
      </c>
      <c r="I4" s="510"/>
      <c r="J4" s="510"/>
      <c r="K4" s="510"/>
      <c r="L4" s="510"/>
      <c r="M4" s="510"/>
      <c r="N4" s="510"/>
      <c r="Q4" s="480">
        <f>D4</f>
        <v>329.43</v>
      </c>
    </row>
    <row r="5" spans="1:17" ht="16.149999999999999" customHeight="1">
      <c r="A5" s="344">
        <v>2</v>
      </c>
      <c r="B5" s="347" t="s">
        <v>373</v>
      </c>
      <c r="C5" s="350">
        <v>49.05</v>
      </c>
      <c r="D5" s="351">
        <v>270.35000000000002</v>
      </c>
      <c r="F5" s="476" t="s">
        <v>420</v>
      </c>
      <c r="G5" s="349"/>
      <c r="I5" s="510"/>
      <c r="J5" s="510"/>
      <c r="K5" s="510"/>
      <c r="L5" s="510"/>
      <c r="M5" s="510"/>
      <c r="N5" s="510"/>
      <c r="Q5" s="480">
        <v>270.43</v>
      </c>
    </row>
    <row r="6" spans="1:17">
      <c r="C6" s="346"/>
      <c r="D6" s="346"/>
      <c r="F6" s="352"/>
      <c r="I6" s="510"/>
      <c r="J6" s="510"/>
      <c r="K6" s="510"/>
      <c r="L6" s="510"/>
      <c r="M6" s="510"/>
      <c r="N6" s="510"/>
      <c r="Q6" s="479"/>
    </row>
    <row r="7" spans="1:17">
      <c r="A7" s="344">
        <v>3</v>
      </c>
      <c r="B7" s="347" t="s">
        <v>374</v>
      </c>
      <c r="C7" s="353">
        <f>C4-C5</f>
        <v>280.38</v>
      </c>
      <c r="D7" s="353">
        <f>D4-D5</f>
        <v>59.079999999999984</v>
      </c>
      <c r="F7" s="349" t="s">
        <v>375</v>
      </c>
      <c r="Q7" s="481">
        <f>Q4-Q5</f>
        <v>59</v>
      </c>
    </row>
    <row r="8" spans="1:17">
      <c r="A8" s="344">
        <v>4</v>
      </c>
      <c r="B8" s="347" t="s">
        <v>376</v>
      </c>
      <c r="C8" s="354">
        <f>SUM('Attach2 - BidFactors'!C153:L153)</f>
        <v>6867.5999999999995</v>
      </c>
      <c r="D8" s="354">
        <f>SUM('Attach2 - BidFactors'!C153:L153)</f>
        <v>6867.5999999999995</v>
      </c>
      <c r="Q8" s="482">
        <f>SUM('Attach2 - BidFactors'!C153:L153)</f>
        <v>6867.5999999999995</v>
      </c>
    </row>
    <row r="9" spans="1:17">
      <c r="A9" s="344">
        <v>5</v>
      </c>
      <c r="B9" s="347" t="s">
        <v>377</v>
      </c>
      <c r="C9" s="355">
        <v>365</v>
      </c>
      <c r="D9" s="355">
        <v>365</v>
      </c>
      <c r="Q9" s="483">
        <v>365</v>
      </c>
    </row>
    <row r="10" spans="1:17">
      <c r="A10" s="344">
        <v>6</v>
      </c>
      <c r="B10" s="347" t="s">
        <v>378</v>
      </c>
      <c r="C10" s="356">
        <f>C7*C8*C9</f>
        <v>702821256.11999989</v>
      </c>
      <c r="D10" s="356">
        <f>D7*D8*D9</f>
        <v>148094299.91999996</v>
      </c>
      <c r="F10" s="349" t="s">
        <v>379</v>
      </c>
      <c r="Q10" s="484">
        <f>Q7*Q8*Q9</f>
        <v>147893766</v>
      </c>
    </row>
    <row r="11" spans="1:17">
      <c r="B11" s="347"/>
      <c r="C11" s="357"/>
      <c r="D11" s="357"/>
      <c r="F11" s="349"/>
      <c r="Q11" s="485"/>
    </row>
    <row r="12" spans="1:17">
      <c r="A12" s="344">
        <v>7</v>
      </c>
      <c r="B12" s="358" t="s">
        <v>380</v>
      </c>
      <c r="C12" s="234">
        <v>29</v>
      </c>
      <c r="D12" s="234">
        <v>28</v>
      </c>
      <c r="F12" s="349" t="s">
        <v>381</v>
      </c>
      <c r="Q12" s="486">
        <v>28</v>
      </c>
    </row>
    <row r="13" spans="1:17">
      <c r="A13" s="344">
        <v>8</v>
      </c>
      <c r="B13" s="347" t="s">
        <v>382</v>
      </c>
      <c r="C13" s="359">
        <f>'Attach3 - AuctionRateResult'!E15</f>
        <v>85</v>
      </c>
      <c r="D13" s="359">
        <v>85</v>
      </c>
      <c r="F13" s="349" t="s">
        <v>381</v>
      </c>
      <c r="Q13" s="486">
        <v>85</v>
      </c>
    </row>
    <row r="14" spans="1:17">
      <c r="A14" s="344">
        <v>9</v>
      </c>
      <c r="B14" s="347" t="s">
        <v>383</v>
      </c>
      <c r="C14" s="360">
        <f>+C12/C13</f>
        <v>0.3411764705882353</v>
      </c>
      <c r="D14" s="360">
        <f>+D12/D13</f>
        <v>0.32941176470588235</v>
      </c>
      <c r="F14" s="349" t="s">
        <v>384</v>
      </c>
      <c r="Q14" s="487">
        <f>+Q12/Q13</f>
        <v>0.32941176470588235</v>
      </c>
    </row>
    <row r="15" spans="1:17">
      <c r="B15" s="347"/>
      <c r="C15" s="357"/>
      <c r="D15" s="357"/>
      <c r="F15" s="349"/>
      <c r="Q15" s="485"/>
    </row>
    <row r="16" spans="1:17">
      <c r="A16" s="344">
        <v>10</v>
      </c>
      <c r="B16" s="347" t="s">
        <v>385</v>
      </c>
      <c r="C16" s="357">
        <f>C10*C14</f>
        <v>239786075.61741173</v>
      </c>
      <c r="D16" s="357">
        <f>D10*D14</f>
        <v>48784004.679529399</v>
      </c>
      <c r="F16" s="349" t="s">
        <v>386</v>
      </c>
      <c r="Q16" s="485">
        <f>Q10*Q14</f>
        <v>48717946.447058819</v>
      </c>
    </row>
    <row r="17" spans="1:17">
      <c r="B17" s="347"/>
      <c r="C17" s="357"/>
      <c r="D17" s="357"/>
      <c r="F17" s="349"/>
      <c r="Q17" s="485"/>
    </row>
    <row r="18" spans="1:17">
      <c r="A18" s="344">
        <v>11</v>
      </c>
      <c r="B18" s="361" t="s">
        <v>387</v>
      </c>
      <c r="C18" s="362">
        <f>'Attach2 - BidFactors'!C360</f>
        <v>26612506.425911386</v>
      </c>
      <c r="D18" s="362">
        <f>'Attach2 - BidFactors'!C360</f>
        <v>26612506.425911386</v>
      </c>
      <c r="Q18" s="483">
        <f>'Attach2 - BidFactors'!C360</f>
        <v>26612506.425911386</v>
      </c>
    </row>
    <row r="19" spans="1:17">
      <c r="A19" s="344">
        <v>12</v>
      </c>
      <c r="B19" s="347" t="s">
        <v>388</v>
      </c>
      <c r="C19" s="355">
        <f>+C14*C18</f>
        <v>9079561.0158991795</v>
      </c>
      <c r="D19" s="355">
        <f>+D14*D18</f>
        <v>8766472.705006104</v>
      </c>
      <c r="F19" s="349" t="s">
        <v>389</v>
      </c>
      <c r="Q19" s="483">
        <f>+Q14*Q18</f>
        <v>8766472.705006104</v>
      </c>
    </row>
    <row r="20" spans="1:17">
      <c r="B20" s="347"/>
      <c r="C20" s="357"/>
      <c r="D20" s="357"/>
      <c r="F20" s="349"/>
      <c r="Q20" s="485"/>
    </row>
    <row r="21" spans="1:17" ht="13.75" thickBot="1">
      <c r="A21" s="344">
        <v>13</v>
      </c>
      <c r="B21" s="347" t="s">
        <v>390</v>
      </c>
      <c r="C21" s="363">
        <f>ROUND(+C16/C19,2)</f>
        <v>26.41</v>
      </c>
      <c r="D21" s="363">
        <f>ROUND(+D16/D19,2)</f>
        <v>5.56</v>
      </c>
      <c r="F21" s="364" t="s">
        <v>391</v>
      </c>
      <c r="Q21" s="488">
        <f>ROUND(+Q16/Q19,2)</f>
        <v>5.56</v>
      </c>
    </row>
    <row r="22" spans="1:17" ht="13.75" thickTop="1">
      <c r="B22" s="347"/>
      <c r="C22" s="357"/>
      <c r="D22" s="357"/>
      <c r="F22" s="349"/>
      <c r="Q22" s="485"/>
    </row>
    <row r="23" spans="1:17">
      <c r="B23" s="347"/>
      <c r="C23" s="357"/>
      <c r="D23" s="357"/>
      <c r="E23" s="357"/>
      <c r="F23" s="349"/>
    </row>
    <row r="24" spans="1:17">
      <c r="B24" s="347"/>
      <c r="C24" s="357"/>
      <c r="D24" s="357"/>
      <c r="E24" s="357"/>
      <c r="F24" s="349"/>
    </row>
    <row r="26" spans="1:17">
      <c r="C26" s="362"/>
      <c r="D26" s="362"/>
      <c r="E26" s="362"/>
    </row>
    <row r="28" spans="1:17">
      <c r="B28" s="347"/>
      <c r="C28" s="348"/>
      <c r="D28" s="348"/>
      <c r="E28" s="348"/>
      <c r="F28" s="349"/>
    </row>
    <row r="135" spans="5:5">
      <c r="E135" s="365"/>
    </row>
  </sheetData>
  <mergeCells count="5">
    <mergeCell ref="H1:N1"/>
    <mergeCell ref="O1:P1"/>
    <mergeCell ref="H2:N2"/>
    <mergeCell ref="O2:P2"/>
    <mergeCell ref="I4:N6"/>
  </mergeCells>
  <pageMargins left="0.7" right="0.7" top="1" bottom="0.75" header="0.3" footer="0.3"/>
  <pageSetup scale="67" orientation="landscape" r:id="rId1"/>
  <headerFooter>
    <oddHeader>&amp;C&amp;"Arial,Bold"Public Service Electric and Gas Company Specific Addendum
Attachment 4 P1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EBAE-3C59-40C6-AB1A-1FAFA38C4351}">
  <sheetPr codeName="Sheet3">
    <pageSetUpPr fitToPage="1"/>
  </sheetPr>
  <dimension ref="A1:M135"/>
  <sheetViews>
    <sheetView view="pageBreakPreview" zoomScaleNormal="100" zoomScaleSheetLayoutView="100" workbookViewId="0"/>
  </sheetViews>
  <sheetFormatPr defaultColWidth="9.26953125" defaultRowHeight="13"/>
  <cols>
    <col min="1" max="1" width="3.26953125" style="344" bestFit="1" customWidth="1"/>
    <col min="2" max="2" width="62.54296875" style="344" bestFit="1" customWidth="1"/>
    <col min="3" max="4" width="29.40625" style="344" customWidth="1"/>
    <col min="5" max="5" width="54" style="344" bestFit="1" customWidth="1"/>
    <col min="6" max="6" width="3.54296875" style="366" customWidth="1"/>
    <col min="7" max="12" width="9.26953125" style="344"/>
    <col min="13" max="14" width="21.54296875" style="344" customWidth="1"/>
    <col min="15" max="16384" width="9.26953125" style="344"/>
  </cols>
  <sheetData>
    <row r="1" spans="1:13" ht="63.65" customHeight="1">
      <c r="B1" s="345" t="s">
        <v>365</v>
      </c>
      <c r="G1" s="508"/>
      <c r="H1" s="508"/>
      <c r="I1" s="508"/>
      <c r="J1" s="508"/>
      <c r="K1" s="508"/>
      <c r="L1" s="508"/>
      <c r="M1" s="508"/>
    </row>
    <row r="2" spans="1:13" ht="74.25" customHeight="1">
      <c r="B2" s="458" t="s">
        <v>392</v>
      </c>
      <c r="C2" s="367" t="s">
        <v>393</v>
      </c>
      <c r="D2" s="367" t="s">
        <v>421</v>
      </c>
      <c r="G2" s="508"/>
      <c r="H2" s="508"/>
      <c r="I2" s="508"/>
      <c r="J2" s="508"/>
      <c r="K2" s="508"/>
      <c r="L2" s="508"/>
      <c r="M2" s="508"/>
    </row>
    <row r="3" spans="1:13" ht="26">
      <c r="C3" s="346" t="s">
        <v>394</v>
      </c>
      <c r="D3" s="346" t="s">
        <v>394</v>
      </c>
      <c r="E3" s="312" t="s">
        <v>300</v>
      </c>
      <c r="G3" s="497"/>
      <c r="H3" s="497"/>
      <c r="I3" s="497"/>
      <c r="J3" s="497"/>
      <c r="K3" s="497"/>
      <c r="L3" s="497"/>
      <c r="M3" s="497"/>
    </row>
    <row r="4" spans="1:13">
      <c r="A4" s="344">
        <v>1</v>
      </c>
      <c r="B4" s="347" t="s">
        <v>371</v>
      </c>
      <c r="C4" s="348">
        <v>330</v>
      </c>
      <c r="D4" s="348">
        <f>C4</f>
        <v>330</v>
      </c>
      <c r="E4" s="349" t="s">
        <v>372</v>
      </c>
    </row>
    <row r="5" spans="1:13">
      <c r="A5" s="344">
        <v>2</v>
      </c>
      <c r="B5" s="347" t="s">
        <v>373</v>
      </c>
      <c r="C5" s="350">
        <v>270.35000000000002</v>
      </c>
      <c r="D5" s="350">
        <f>Inputs!E113</f>
        <v>329.43</v>
      </c>
      <c r="E5" s="349" t="s">
        <v>422</v>
      </c>
    </row>
    <row r="6" spans="1:13">
      <c r="C6" s="346"/>
      <c r="D6" s="346"/>
      <c r="E6" s="352"/>
    </row>
    <row r="7" spans="1:13">
      <c r="A7" s="344">
        <v>3</v>
      </c>
      <c r="B7" s="347" t="s">
        <v>374</v>
      </c>
      <c r="C7" s="353">
        <f>C4-C5</f>
        <v>59.649999999999977</v>
      </c>
      <c r="D7" s="353">
        <f>D4-D5</f>
        <v>0.56999999999999318</v>
      </c>
      <c r="E7" s="349" t="s">
        <v>375</v>
      </c>
    </row>
    <row r="8" spans="1:13">
      <c r="A8" s="344">
        <v>4</v>
      </c>
      <c r="B8" s="347" t="s">
        <v>376</v>
      </c>
      <c r="C8" s="354">
        <f>'Attach 4 P1'!D8</f>
        <v>6867.5999999999995</v>
      </c>
      <c r="D8" s="354">
        <f>'Attach 4 P1'!D8</f>
        <v>6867.5999999999995</v>
      </c>
    </row>
    <row r="9" spans="1:13">
      <c r="A9" s="344">
        <v>5</v>
      </c>
      <c r="B9" s="347" t="s">
        <v>377</v>
      </c>
      <c r="C9" s="355">
        <v>366</v>
      </c>
      <c r="D9" s="355">
        <v>366</v>
      </c>
    </row>
    <row r="10" spans="1:13">
      <c r="A10" s="344">
        <v>6</v>
      </c>
      <c r="B10" s="347" t="s">
        <v>378</v>
      </c>
      <c r="C10" s="356">
        <f>C7*C8*C9</f>
        <v>149932756.43999994</v>
      </c>
      <c r="D10" s="356">
        <f>D7*D8*D9</f>
        <v>1432718.7119999828</v>
      </c>
      <c r="E10" s="349" t="s">
        <v>379</v>
      </c>
    </row>
    <row r="11" spans="1:13">
      <c r="B11" s="347"/>
      <c r="C11" s="357"/>
      <c r="D11" s="357"/>
      <c r="E11" s="349"/>
    </row>
    <row r="12" spans="1:13">
      <c r="A12" s="344">
        <v>7</v>
      </c>
      <c r="B12" s="358" t="s">
        <v>380</v>
      </c>
      <c r="C12" s="234">
        <v>28</v>
      </c>
      <c r="D12" s="234">
        <v>28</v>
      </c>
      <c r="E12" s="349" t="s">
        <v>381</v>
      </c>
    </row>
    <row r="13" spans="1:13">
      <c r="A13" s="344">
        <v>8</v>
      </c>
      <c r="B13" s="347" t="s">
        <v>382</v>
      </c>
      <c r="C13" s="359">
        <v>85</v>
      </c>
      <c r="D13" s="359">
        <v>85</v>
      </c>
      <c r="E13" s="349" t="s">
        <v>381</v>
      </c>
    </row>
    <row r="14" spans="1:13">
      <c r="A14" s="344">
        <v>9</v>
      </c>
      <c r="B14" s="347" t="s">
        <v>383</v>
      </c>
      <c r="C14" s="360">
        <f>+C12/C13</f>
        <v>0.32941176470588235</v>
      </c>
      <c r="D14" s="360">
        <f>+D12/D13</f>
        <v>0.32941176470588235</v>
      </c>
      <c r="E14" s="349" t="s">
        <v>384</v>
      </c>
    </row>
    <row r="15" spans="1:13">
      <c r="B15" s="347"/>
      <c r="C15" s="357"/>
      <c r="D15" s="357"/>
      <c r="E15" s="349"/>
    </row>
    <row r="16" spans="1:13">
      <c r="A16" s="344">
        <v>10</v>
      </c>
      <c r="B16" s="347" t="s">
        <v>385</v>
      </c>
      <c r="C16" s="357">
        <f>C10*C14</f>
        <v>49389613.886117622</v>
      </c>
      <c r="D16" s="357">
        <f>D10*D14</f>
        <v>471954.39924705314</v>
      </c>
      <c r="E16" s="349" t="s">
        <v>386</v>
      </c>
    </row>
    <row r="17" spans="1:5">
      <c r="B17" s="347"/>
      <c r="C17" s="357"/>
      <c r="D17" s="357"/>
      <c r="E17" s="349"/>
    </row>
    <row r="18" spans="1:5">
      <c r="A18" s="344">
        <v>11</v>
      </c>
      <c r="B18" s="361" t="s">
        <v>387</v>
      </c>
      <c r="C18" s="362">
        <f>'Attach2 - BidFactors'!C360</f>
        <v>26612506.425911386</v>
      </c>
      <c r="D18" s="362">
        <f>'Attach2 - BidFactors'!C360</f>
        <v>26612506.425911386</v>
      </c>
    </row>
    <row r="19" spans="1:5">
      <c r="A19" s="344">
        <v>12</v>
      </c>
      <c r="B19" s="347" t="s">
        <v>388</v>
      </c>
      <c r="C19" s="355">
        <f>+C14*C18</f>
        <v>8766472.705006104</v>
      </c>
      <c r="D19" s="355">
        <f>+D14*D18</f>
        <v>8766472.705006104</v>
      </c>
      <c r="E19" s="349" t="s">
        <v>389</v>
      </c>
    </row>
    <row r="20" spans="1:5">
      <c r="B20" s="347"/>
      <c r="C20" s="357"/>
      <c r="D20" s="357"/>
      <c r="E20" s="349"/>
    </row>
    <row r="21" spans="1:5" ht="13.75" thickBot="1">
      <c r="A21" s="344">
        <v>13</v>
      </c>
      <c r="B21" s="347" t="s">
        <v>390</v>
      </c>
      <c r="C21" s="363">
        <f>ROUND(+C16/C19,2)</f>
        <v>5.63</v>
      </c>
      <c r="D21" s="363">
        <f>ROUND(+D16/D19,2)</f>
        <v>0.05</v>
      </c>
      <c r="E21" s="364" t="s">
        <v>391</v>
      </c>
    </row>
    <row r="22" spans="1:5" ht="13.75" thickTop="1">
      <c r="B22" s="347"/>
      <c r="C22" s="357"/>
      <c r="D22" s="357"/>
      <c r="E22" s="349"/>
    </row>
    <row r="23" spans="1:5">
      <c r="B23" s="347"/>
      <c r="C23" s="357"/>
      <c r="D23" s="357"/>
      <c r="E23" s="349"/>
    </row>
    <row r="24" spans="1:5">
      <c r="B24" s="347"/>
      <c r="C24" s="357"/>
      <c r="D24" s="357"/>
      <c r="E24" s="349"/>
    </row>
    <row r="26" spans="1:5">
      <c r="C26" s="362"/>
      <c r="D26" s="362"/>
    </row>
    <row r="28" spans="1:5">
      <c r="B28" s="347"/>
      <c r="C28" s="348"/>
      <c r="D28" s="348"/>
      <c r="E28" s="349"/>
    </row>
    <row r="135" spans="5:5">
      <c r="E135" s="365"/>
    </row>
  </sheetData>
  <mergeCells count="2">
    <mergeCell ref="G1:M1"/>
    <mergeCell ref="G2:M2"/>
  </mergeCells>
  <pageMargins left="0.7" right="0.7" top="1" bottom="0.75" header="0.3" footer="0.3"/>
  <pageSetup scale="69" orientation="landscape" r:id="rId1"/>
  <headerFooter>
    <oddHeader xml:space="preserve">&amp;C&amp;"Arial,Bold"Public Service Electric and Gas Company Specific Addendum
Attachment 4 P2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586C-AA5A-46D0-86C7-50FFF2E5E210}">
  <sheetPr codeName="Sheet4">
    <pageSetUpPr fitToPage="1"/>
  </sheetPr>
  <dimension ref="A1:U135"/>
  <sheetViews>
    <sheetView view="pageBreakPreview" zoomScaleNormal="100" zoomScaleSheetLayoutView="100" workbookViewId="0"/>
  </sheetViews>
  <sheetFormatPr defaultColWidth="9.26953125" defaultRowHeight="13"/>
  <cols>
    <col min="1" max="1" width="3.40625" style="344" bestFit="1" customWidth="1"/>
    <col min="2" max="2" width="54.7265625" style="344" customWidth="1"/>
    <col min="3" max="3" width="31" style="344" customWidth="1"/>
    <col min="4" max="4" width="2.54296875" style="344" customWidth="1"/>
    <col min="5" max="5" width="39.54296875" style="344" customWidth="1"/>
    <col min="6" max="6" width="2.7265625" style="344" customWidth="1"/>
    <col min="7" max="7" width="3.54296875" style="344" customWidth="1"/>
    <col min="8" max="8" width="2.7265625" style="344" customWidth="1"/>
    <col min="9" max="9" width="3.40625" style="344" customWidth="1"/>
    <col min="10" max="10" width="16.26953125" style="344" customWidth="1"/>
    <col min="11" max="11" width="9.26953125" style="366"/>
    <col min="12" max="16384" width="9.26953125" style="344"/>
  </cols>
  <sheetData>
    <row r="1" spans="1:21" ht="31.9" customHeight="1">
      <c r="B1" s="345" t="s">
        <v>365</v>
      </c>
      <c r="L1" s="508"/>
      <c r="M1" s="508"/>
      <c r="N1" s="508"/>
      <c r="O1" s="508"/>
      <c r="P1" s="508"/>
      <c r="Q1" s="508"/>
      <c r="R1" s="508"/>
      <c r="S1" s="497"/>
      <c r="T1" s="497"/>
      <c r="U1" s="497"/>
    </row>
    <row r="2" spans="1:21" ht="52">
      <c r="B2" s="458" t="s">
        <v>395</v>
      </c>
      <c r="C2" s="456" t="s">
        <v>369</v>
      </c>
      <c r="L2" s="511"/>
      <c r="M2" s="508"/>
      <c r="N2" s="508"/>
      <c r="O2" s="508"/>
      <c r="P2" s="508"/>
      <c r="Q2" s="508"/>
      <c r="R2" s="508"/>
      <c r="S2" s="508"/>
      <c r="T2" s="508"/>
      <c r="U2" s="508"/>
    </row>
    <row r="3" spans="1:21" ht="26">
      <c r="C3" s="346" t="s">
        <v>396</v>
      </c>
      <c r="E3" s="312" t="s">
        <v>300</v>
      </c>
    </row>
    <row r="4" spans="1:21">
      <c r="A4" s="344">
        <v>1</v>
      </c>
      <c r="B4" s="347" t="s">
        <v>371</v>
      </c>
      <c r="C4" s="348">
        <f>'Attach 4 P2'!D4</f>
        <v>330</v>
      </c>
      <c r="D4" s="368"/>
      <c r="E4" s="349" t="s">
        <v>372</v>
      </c>
    </row>
    <row r="5" spans="1:21">
      <c r="A5" s="344">
        <v>2</v>
      </c>
      <c r="B5" s="347" t="s">
        <v>373</v>
      </c>
      <c r="C5" s="350">
        <f>'Attach 4 P2'!D5</f>
        <v>329.43</v>
      </c>
      <c r="E5" s="349" t="s">
        <v>423</v>
      </c>
      <c r="F5" s="349"/>
      <c r="G5" s="349"/>
      <c r="H5" s="349"/>
      <c r="I5" s="430"/>
      <c r="K5" s="369"/>
    </row>
    <row r="6" spans="1:21">
      <c r="C6" s="346"/>
      <c r="E6" s="352"/>
    </row>
    <row r="7" spans="1:21">
      <c r="A7" s="344">
        <v>3</v>
      </c>
      <c r="B7" s="347" t="s">
        <v>374</v>
      </c>
      <c r="C7" s="353">
        <f>C4-C5</f>
        <v>0.56999999999999318</v>
      </c>
      <c r="E7" s="349" t="s">
        <v>375</v>
      </c>
    </row>
    <row r="8" spans="1:21">
      <c r="A8" s="344">
        <v>4</v>
      </c>
      <c r="B8" s="347" t="s">
        <v>376</v>
      </c>
      <c r="C8" s="354">
        <f>'Attach 4 P2'!D8</f>
        <v>6867.5999999999995</v>
      </c>
    </row>
    <row r="9" spans="1:21">
      <c r="A9" s="344">
        <v>5</v>
      </c>
      <c r="B9" s="347" t="s">
        <v>377</v>
      </c>
      <c r="C9" s="370">
        <v>365</v>
      </c>
    </row>
    <row r="10" spans="1:21">
      <c r="A10" s="344">
        <v>6</v>
      </c>
      <c r="B10" s="347" t="s">
        <v>378</v>
      </c>
      <c r="C10" s="356">
        <f>C7*C8*C9</f>
        <v>1428804.1799999827</v>
      </c>
      <c r="E10" s="349" t="s">
        <v>379</v>
      </c>
    </row>
    <row r="11" spans="1:21">
      <c r="B11" s="347"/>
      <c r="C11" s="357"/>
      <c r="E11" s="349"/>
    </row>
    <row r="12" spans="1:21">
      <c r="A12" s="344">
        <v>7</v>
      </c>
      <c r="B12" s="358" t="s">
        <v>380</v>
      </c>
      <c r="C12" s="234">
        <v>28</v>
      </c>
      <c r="E12" s="349" t="s">
        <v>381</v>
      </c>
    </row>
    <row r="13" spans="1:21">
      <c r="A13" s="344">
        <v>8</v>
      </c>
      <c r="B13" s="347" t="s">
        <v>382</v>
      </c>
      <c r="C13" s="359">
        <v>85</v>
      </c>
      <c r="E13" s="349" t="s">
        <v>381</v>
      </c>
    </row>
    <row r="14" spans="1:21">
      <c r="A14" s="344">
        <v>9</v>
      </c>
      <c r="B14" s="347" t="s">
        <v>383</v>
      </c>
      <c r="C14" s="360">
        <f>+C12/C13</f>
        <v>0.32941176470588235</v>
      </c>
      <c r="E14" s="349" t="s">
        <v>384</v>
      </c>
    </row>
    <row r="15" spans="1:21">
      <c r="B15" s="347"/>
      <c r="C15" s="357"/>
      <c r="E15" s="349"/>
    </row>
    <row r="16" spans="1:21">
      <c r="A16" s="344">
        <v>10</v>
      </c>
      <c r="B16" s="347" t="s">
        <v>385</v>
      </c>
      <c r="C16" s="357">
        <f>C10*C14</f>
        <v>470664.90635293548</v>
      </c>
      <c r="E16" s="349" t="s">
        <v>386</v>
      </c>
    </row>
    <row r="17" spans="1:5">
      <c r="B17" s="347"/>
      <c r="C17" s="357"/>
      <c r="E17" s="349"/>
    </row>
    <row r="18" spans="1:5">
      <c r="A18" s="344">
        <v>11</v>
      </c>
      <c r="B18" s="361" t="s">
        <v>387</v>
      </c>
      <c r="C18" s="362">
        <f>'Attach2 - BidFactors'!C360</f>
        <v>26612506.425911386</v>
      </c>
    </row>
    <row r="19" spans="1:5">
      <c r="A19" s="344">
        <v>12</v>
      </c>
      <c r="B19" s="347" t="s">
        <v>388</v>
      </c>
      <c r="C19" s="355">
        <f>+C14*C18</f>
        <v>8766472.705006104</v>
      </c>
      <c r="E19" s="349" t="s">
        <v>389</v>
      </c>
    </row>
    <row r="20" spans="1:5">
      <c r="B20" s="347"/>
      <c r="C20" s="357"/>
      <c r="E20" s="349"/>
    </row>
    <row r="21" spans="1:5" ht="13.75" thickBot="1">
      <c r="A21" s="344">
        <v>13</v>
      </c>
      <c r="B21" s="347" t="s">
        <v>390</v>
      </c>
      <c r="C21" s="363">
        <f>ROUND(+C16/C19,2)</f>
        <v>0.05</v>
      </c>
      <c r="E21" s="364" t="s">
        <v>391</v>
      </c>
    </row>
    <row r="22" spans="1:5" ht="13.75" thickTop="1">
      <c r="B22" s="347"/>
      <c r="C22" s="357"/>
      <c r="E22" s="349"/>
    </row>
    <row r="23" spans="1:5">
      <c r="B23" s="347"/>
      <c r="C23" s="357"/>
      <c r="E23" s="349"/>
    </row>
    <row r="24" spans="1:5">
      <c r="B24" s="347"/>
      <c r="C24" s="357"/>
      <c r="E24" s="349"/>
    </row>
    <row r="26" spans="1:5">
      <c r="C26" s="362"/>
    </row>
    <row r="28" spans="1:5">
      <c r="B28" s="347"/>
      <c r="C28" s="348"/>
      <c r="E28" s="349"/>
    </row>
    <row r="135" spans="5:5">
      <c r="E135" s="365"/>
    </row>
  </sheetData>
  <mergeCells count="2">
    <mergeCell ref="L1:R1"/>
    <mergeCell ref="L2:U2"/>
  </mergeCells>
  <pageMargins left="0.7" right="0.7" top="1" bottom="0.75" header="0.3" footer="0.3"/>
  <pageSetup scale="78" orientation="landscape" r:id="rId1"/>
  <headerFooter>
    <oddHeader>&amp;C&amp;"Arial,Bold"Public Service Electric and Gas Company Specific Addendum
Attachment 4 P3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5EF31-8AB4-477F-B9CA-F16E460E72A8}">
  <sheetPr codeName="Sheet6">
    <pageSetUpPr fitToPage="1"/>
  </sheetPr>
  <dimension ref="A1:M274"/>
  <sheetViews>
    <sheetView showGridLines="0" view="pageBreakPreview" zoomScaleNormal="85" zoomScaleSheetLayoutView="100" workbookViewId="0"/>
  </sheetViews>
  <sheetFormatPr defaultColWidth="9.26953125" defaultRowHeight="13" outlineLevelRow="1"/>
  <cols>
    <col min="1" max="1" width="12.26953125" style="344" bestFit="1" customWidth="1"/>
    <col min="2" max="2" width="46" style="344" customWidth="1"/>
    <col min="3" max="5" width="16.54296875" style="344" customWidth="1"/>
    <col min="6" max="6" width="4.54296875" style="344" customWidth="1"/>
    <col min="7" max="7" width="48.26953125" style="344" bestFit="1" customWidth="1"/>
    <col min="8" max="8" width="3.54296875" style="366" customWidth="1"/>
    <col min="9" max="9" width="11" style="344" customWidth="1"/>
    <col min="10" max="10" width="23.26953125" style="344" customWidth="1"/>
    <col min="11" max="11" width="12.54296875" style="344" customWidth="1"/>
    <col min="12" max="12" width="30.1328125" style="344" customWidth="1"/>
    <col min="13" max="13" width="14.26953125" style="344" bestFit="1" customWidth="1"/>
    <col min="14" max="14" width="24.26953125" style="344" bestFit="1" customWidth="1"/>
    <col min="15" max="16" width="10.7265625" style="344" bestFit="1" customWidth="1"/>
    <col min="17" max="17" width="14.26953125" style="344" bestFit="1" customWidth="1"/>
    <col min="18" max="16384" width="9.26953125" style="344"/>
  </cols>
  <sheetData>
    <row r="1" spans="1:11" ht="20.5">
      <c r="A1" s="371" t="s">
        <v>397</v>
      </c>
    </row>
    <row r="2" spans="1:11" ht="15" customHeight="1">
      <c r="A2" s="372" t="s">
        <v>398</v>
      </c>
      <c r="D2" s="512"/>
      <c r="E2" s="512"/>
      <c r="F2" s="512"/>
      <c r="G2" s="512"/>
      <c r="H2" s="513"/>
    </row>
    <row r="3" spans="1:11" ht="12.75" customHeight="1">
      <c r="A3" s="457" t="s">
        <v>399</v>
      </c>
      <c r="D3" s="512"/>
      <c r="E3" s="512"/>
      <c r="F3" s="512"/>
      <c r="G3" s="512"/>
      <c r="H3" s="513"/>
    </row>
    <row r="5" spans="1:11">
      <c r="A5" s="373" t="s">
        <v>297</v>
      </c>
      <c r="B5" s="347" t="s">
        <v>298</v>
      </c>
    </row>
    <row r="6" spans="1:11" ht="39">
      <c r="A6" s="374" t="s">
        <v>299</v>
      </c>
      <c r="B6" s="347" t="s">
        <v>84</v>
      </c>
      <c r="C6" s="352" t="s">
        <v>86</v>
      </c>
      <c r="D6" s="352" t="s">
        <v>400</v>
      </c>
      <c r="E6" s="352" t="s">
        <v>401</v>
      </c>
      <c r="G6" s="312" t="s">
        <v>300</v>
      </c>
    </row>
    <row r="8" spans="1:11">
      <c r="A8" s="374">
        <v>1</v>
      </c>
      <c r="B8" s="347" t="s">
        <v>96</v>
      </c>
      <c r="C8" s="263">
        <f>'Attach3 - AuctionRateResult'!D8</f>
        <v>107.36</v>
      </c>
      <c r="D8" s="263">
        <f>'Attach3 - AuctionRateResult'!E8</f>
        <v>112.92</v>
      </c>
      <c r="E8" s="263">
        <f>D10</f>
        <v>112.97</v>
      </c>
      <c r="G8" s="314" t="s">
        <v>418</v>
      </c>
    </row>
    <row r="9" spans="1:11">
      <c r="A9" s="374" t="s">
        <v>301</v>
      </c>
      <c r="B9" s="347" t="s">
        <v>402</v>
      </c>
      <c r="C9" s="263">
        <f>'Attach 4 P2'!C21</f>
        <v>5.63</v>
      </c>
      <c r="D9" s="263">
        <f>'Attach 4 P2'!D21</f>
        <v>0.05</v>
      </c>
      <c r="E9" s="375"/>
      <c r="G9" s="317" t="s">
        <v>403</v>
      </c>
    </row>
    <row r="10" spans="1:11">
      <c r="A10" s="374" t="s">
        <v>303</v>
      </c>
      <c r="B10" s="347" t="s">
        <v>305</v>
      </c>
      <c r="C10" s="376">
        <f>C8+C9</f>
        <v>112.99</v>
      </c>
      <c r="D10" s="376">
        <f t="shared" ref="D10:E10" si="0">D8+D9</f>
        <v>112.97</v>
      </c>
      <c r="E10" s="376">
        <f t="shared" si="0"/>
        <v>112.97</v>
      </c>
      <c r="G10" s="377" t="s">
        <v>404</v>
      </c>
    </row>
    <row r="11" spans="1:11">
      <c r="A11" s="374"/>
      <c r="B11" s="347"/>
      <c r="C11" s="376"/>
      <c r="D11" s="376"/>
      <c r="E11" s="376"/>
      <c r="G11" s="349"/>
    </row>
    <row r="12" spans="1:11">
      <c r="A12" s="374">
        <v>2</v>
      </c>
      <c r="B12" s="358" t="s">
        <v>97</v>
      </c>
      <c r="C12" s="344">
        <f>'Attach3 - AuctionRateResult'!D14</f>
        <v>28</v>
      </c>
      <c r="D12" s="344">
        <f>'Attach3 - AuctionRateResult'!E14</f>
        <v>28</v>
      </c>
      <c r="E12" s="344">
        <v>29</v>
      </c>
      <c r="G12" s="317" t="s">
        <v>308</v>
      </c>
    </row>
    <row r="13" spans="1:11">
      <c r="A13" s="374">
        <v>3</v>
      </c>
      <c r="B13" s="347" t="s">
        <v>309</v>
      </c>
      <c r="C13" s="344">
        <v>85</v>
      </c>
      <c r="D13" s="344">
        <v>85</v>
      </c>
      <c r="E13" s="344">
        <v>85</v>
      </c>
      <c r="G13" s="317" t="s">
        <v>308</v>
      </c>
    </row>
    <row r="14" spans="1:11">
      <c r="A14" s="374"/>
      <c r="B14" s="347"/>
      <c r="G14" s="317"/>
    </row>
    <row r="15" spans="1:11">
      <c r="A15" s="374"/>
      <c r="B15" s="347" t="s">
        <v>100</v>
      </c>
    </row>
    <row r="16" spans="1:11">
      <c r="A16" s="374">
        <v>4</v>
      </c>
      <c r="B16" s="241" t="s">
        <v>101</v>
      </c>
      <c r="C16" s="378">
        <v>1</v>
      </c>
      <c r="D16" s="378">
        <v>1</v>
      </c>
      <c r="E16" s="378">
        <v>1</v>
      </c>
      <c r="G16" s="317" t="s">
        <v>308</v>
      </c>
      <c r="K16" s="379"/>
    </row>
    <row r="17" spans="1:12">
      <c r="A17" s="374">
        <v>5</v>
      </c>
      <c r="B17" s="241" t="s">
        <v>102</v>
      </c>
      <c r="C17" s="378">
        <v>1</v>
      </c>
      <c r="D17" s="378">
        <v>1</v>
      </c>
      <c r="E17" s="378">
        <v>1</v>
      </c>
      <c r="G17" s="317" t="s">
        <v>308</v>
      </c>
      <c r="K17" s="379"/>
    </row>
    <row r="18" spans="1:12">
      <c r="A18" s="374"/>
    </row>
    <row r="19" spans="1:12">
      <c r="A19" s="374"/>
      <c r="B19" s="361" t="s">
        <v>405</v>
      </c>
    </row>
    <row r="20" spans="1:12">
      <c r="A20" s="374">
        <v>6</v>
      </c>
      <c r="B20" s="344" t="s">
        <v>311</v>
      </c>
      <c r="C20" s="362">
        <f>'Attach3 - AuctionRateResult'!C21</f>
        <v>10351093.266882937</v>
      </c>
      <c r="D20" s="362"/>
      <c r="E20" s="362"/>
      <c r="G20" s="317" t="s">
        <v>308</v>
      </c>
    </row>
    <row r="21" spans="1:12">
      <c r="A21" s="374">
        <v>7</v>
      </c>
      <c r="B21" s="344" t="s">
        <v>313</v>
      </c>
      <c r="C21" s="362">
        <f>'Attach3 - AuctionRateResult'!C22</f>
        <v>16261413.159028448</v>
      </c>
      <c r="D21" s="362"/>
      <c r="E21" s="362"/>
    </row>
    <row r="22" spans="1:12">
      <c r="A22" s="374"/>
    </row>
    <row r="23" spans="1:12">
      <c r="A23" s="374"/>
      <c r="B23" s="347" t="s">
        <v>314</v>
      </c>
    </row>
    <row r="24" spans="1:12">
      <c r="A24" s="374">
        <v>8</v>
      </c>
      <c r="B24" s="241" t="s">
        <v>101</v>
      </c>
      <c r="C24" s="380">
        <f>((+C$10)*C$12/C$13*C16*$C20/1000)</f>
        <v>385270.12694473984</v>
      </c>
      <c r="D24" s="380">
        <f t="shared" ref="D24:E25" si="1">((+D$10)*D$12/D$13*D16*$C20/1000)</f>
        <v>385201.93150674622</v>
      </c>
      <c r="E24" s="380">
        <f t="shared" si="1"/>
        <v>398959.14334627287</v>
      </c>
      <c r="F24" s="381"/>
      <c r="G24" s="377" t="s">
        <v>406</v>
      </c>
      <c r="J24" s="382"/>
      <c r="L24" s="382"/>
    </row>
    <row r="25" spans="1:12" ht="15.25">
      <c r="A25" s="374">
        <v>9</v>
      </c>
      <c r="B25" s="241" t="s">
        <v>102</v>
      </c>
      <c r="C25" s="383">
        <f>((+C$10)*C$12/C$13*C17*$C21/1000)</f>
        <v>605253.62399389967</v>
      </c>
      <c r="D25" s="383">
        <f t="shared" si="1"/>
        <v>605146.48997779319</v>
      </c>
      <c r="E25" s="383">
        <f t="shared" si="1"/>
        <v>626758.86461985728</v>
      </c>
      <c r="F25" s="381"/>
      <c r="G25" s="377" t="s">
        <v>407</v>
      </c>
    </row>
    <row r="26" spans="1:12">
      <c r="A26" s="374">
        <v>10</v>
      </c>
      <c r="B26" s="344" t="s">
        <v>317</v>
      </c>
      <c r="C26" s="382">
        <f>+C25+C24</f>
        <v>990523.75093863951</v>
      </c>
      <c r="D26" s="382">
        <f>+D25+D24</f>
        <v>990348.4214845394</v>
      </c>
      <c r="E26" s="382">
        <f>+E25+E24</f>
        <v>1025718.0079661302</v>
      </c>
      <c r="J26" s="382"/>
      <c r="L26" s="382"/>
    </row>
    <row r="27" spans="1:12">
      <c r="A27" s="374"/>
    </row>
    <row r="28" spans="1:12">
      <c r="A28" s="374"/>
      <c r="B28" s="347" t="s">
        <v>319</v>
      </c>
    </row>
    <row r="29" spans="1:12">
      <c r="A29" s="374">
        <v>11</v>
      </c>
      <c r="B29" s="241" t="s">
        <v>101</v>
      </c>
      <c r="C29" s="384">
        <f>ROUND(+SUM(C24:E24)/C20*1000,3)</f>
        <v>112.977</v>
      </c>
      <c r="D29" s="385"/>
      <c r="G29" s="377" t="s">
        <v>408</v>
      </c>
    </row>
    <row r="30" spans="1:12">
      <c r="A30" s="374">
        <v>12</v>
      </c>
      <c r="B30" s="241" t="s">
        <v>102</v>
      </c>
      <c r="C30" s="376">
        <f>ROUND(+SUM(C25:E25)/C21*1000,3)</f>
        <v>112.977</v>
      </c>
      <c r="G30" s="377" t="s">
        <v>409</v>
      </c>
    </row>
    <row r="31" spans="1:12">
      <c r="A31" s="374"/>
      <c r="B31" s="241"/>
      <c r="C31" s="386"/>
      <c r="G31" s="349"/>
    </row>
    <row r="32" spans="1:12">
      <c r="A32" s="374">
        <v>13</v>
      </c>
      <c r="B32" s="344" t="s">
        <v>322</v>
      </c>
      <c r="C32" s="387">
        <f>ROUND(+SUM(C26:E26)/(C20+C21)*1000,3)</f>
        <v>112.977</v>
      </c>
      <c r="D32" s="344" t="s">
        <v>323</v>
      </c>
      <c r="G32" s="377" t="s">
        <v>324</v>
      </c>
    </row>
    <row r="33" spans="1:13">
      <c r="D33" s="344" t="s">
        <v>325</v>
      </c>
      <c r="G33" s="317" t="s">
        <v>410</v>
      </c>
    </row>
    <row r="34" spans="1:13">
      <c r="C34" s="385"/>
    </row>
    <row r="35" spans="1:13">
      <c r="B35" s="388"/>
      <c r="D35" s="385"/>
    </row>
    <row r="36" spans="1:13">
      <c r="A36" s="374"/>
      <c r="B36" s="389"/>
      <c r="C36" s="382"/>
      <c r="D36" s="385"/>
      <c r="G36" s="349"/>
    </row>
    <row r="37" spans="1:13" ht="15.25">
      <c r="A37" s="374"/>
      <c r="B37" s="389"/>
      <c r="C37" s="390"/>
      <c r="D37" s="385"/>
      <c r="G37" s="349"/>
    </row>
    <row r="38" spans="1:13">
      <c r="A38" s="374"/>
      <c r="B38" s="389"/>
      <c r="C38" s="391"/>
      <c r="D38" s="385"/>
      <c r="G38" s="349"/>
    </row>
    <row r="39" spans="1:13">
      <c r="B39" s="389"/>
      <c r="D39" s="385"/>
    </row>
    <row r="41" spans="1:13">
      <c r="A41" s="392"/>
      <c r="B41" s="347"/>
      <c r="G41" s="312"/>
    </row>
    <row r="42" spans="1:13">
      <c r="A42" s="392"/>
      <c r="B42" s="347"/>
      <c r="G42" s="312"/>
    </row>
    <row r="43" spans="1:13">
      <c r="B43" s="347"/>
    </row>
    <row r="44" spans="1:13">
      <c r="B44" s="312"/>
    </row>
    <row r="45" spans="1:13">
      <c r="B45" s="347"/>
    </row>
    <row r="46" spans="1:13">
      <c r="C46" s="393"/>
      <c r="D46" s="393"/>
      <c r="E46" s="393"/>
      <c r="F46" s="393"/>
      <c r="G46" s="393"/>
      <c r="H46" s="394"/>
      <c r="I46" s="393"/>
      <c r="J46" s="393"/>
    </row>
    <row r="47" spans="1:13">
      <c r="C47" s="393"/>
      <c r="D47" s="393"/>
      <c r="E47" s="393"/>
      <c r="F47" s="393"/>
      <c r="G47" s="393"/>
    </row>
    <row r="48" spans="1:13">
      <c r="B48" s="395"/>
      <c r="E48" s="292"/>
      <c r="F48" s="293"/>
      <c r="G48" s="293"/>
      <c r="H48" s="396"/>
      <c r="I48" s="292"/>
      <c r="J48" s="292"/>
      <c r="K48" s="294"/>
      <c r="L48" s="294"/>
      <c r="M48" s="294"/>
    </row>
    <row r="49" spans="2:13">
      <c r="B49" s="397"/>
      <c r="C49" s="295"/>
      <c r="D49" s="207"/>
      <c r="E49" s="293"/>
      <c r="F49" s="292"/>
      <c r="G49" s="292"/>
      <c r="H49" s="398"/>
      <c r="J49" s="296"/>
      <c r="K49" s="294"/>
      <c r="L49" s="294"/>
      <c r="M49" s="294"/>
    </row>
    <row r="50" spans="2:13">
      <c r="B50" s="397"/>
      <c r="C50" s="295"/>
      <c r="D50" s="207"/>
      <c r="E50" s="293"/>
      <c r="F50" s="292"/>
      <c r="G50" s="292"/>
      <c r="H50" s="399"/>
      <c r="J50" s="296"/>
      <c r="K50" s="400"/>
      <c r="L50" s="294"/>
      <c r="M50" s="294"/>
    </row>
    <row r="51" spans="2:13">
      <c r="E51" s="295"/>
      <c r="F51" s="207"/>
      <c r="G51" s="207"/>
      <c r="L51" s="294"/>
      <c r="M51" s="294"/>
    </row>
    <row r="52" spans="2:13">
      <c r="B52" s="401"/>
      <c r="C52" s="293"/>
      <c r="D52" s="293"/>
      <c r="E52" s="295"/>
      <c r="F52" s="207"/>
      <c r="G52" s="207"/>
      <c r="H52" s="402"/>
      <c r="I52" s="207"/>
      <c r="J52" s="207"/>
      <c r="K52" s="294"/>
      <c r="L52" s="294"/>
      <c r="M52" s="294"/>
    </row>
    <row r="53" spans="2:13">
      <c r="B53" s="401"/>
      <c r="C53" s="403"/>
      <c r="D53" s="403"/>
      <c r="E53" s="404"/>
      <c r="F53" s="207"/>
      <c r="G53" s="207"/>
      <c r="H53" s="402"/>
      <c r="I53" s="207"/>
      <c r="J53" s="207"/>
      <c r="K53" s="294"/>
      <c r="L53" s="294"/>
      <c r="M53" s="294"/>
    </row>
    <row r="54" spans="2:13">
      <c r="B54" s="401"/>
      <c r="C54" s="403"/>
      <c r="D54" s="403"/>
      <c r="E54" s="404"/>
      <c r="F54" s="207"/>
      <c r="G54" s="207"/>
      <c r="H54" s="402"/>
      <c r="I54" s="207"/>
      <c r="J54" s="207"/>
      <c r="K54" s="294"/>
      <c r="L54" s="294"/>
      <c r="M54" s="294"/>
    </row>
    <row r="55" spans="2:13">
      <c r="G55" s="207"/>
      <c r="H55" s="402"/>
      <c r="I55" s="207"/>
      <c r="J55" s="207"/>
      <c r="K55" s="294"/>
      <c r="L55" s="294"/>
      <c r="M55" s="294"/>
    </row>
    <row r="56" spans="2:13">
      <c r="H56" s="402"/>
      <c r="I56" s="207"/>
      <c r="J56" s="207"/>
      <c r="K56" s="294"/>
      <c r="L56" s="294"/>
      <c r="M56" s="294"/>
    </row>
    <row r="57" spans="2:13">
      <c r="C57" s="207"/>
      <c r="D57" s="207"/>
      <c r="E57" s="207"/>
      <c r="F57" s="207"/>
      <c r="G57" s="207"/>
      <c r="H57" s="402"/>
      <c r="I57" s="207"/>
      <c r="J57" s="207"/>
      <c r="K57" s="294"/>
      <c r="L57" s="294"/>
      <c r="M57" s="294"/>
    </row>
    <row r="58" spans="2:13">
      <c r="B58" s="395"/>
      <c r="C58" s="293"/>
      <c r="D58" s="293"/>
      <c r="E58" s="292"/>
      <c r="F58" s="293"/>
      <c r="G58" s="293"/>
      <c r="H58" s="396"/>
      <c r="I58" s="292"/>
      <c r="J58" s="292"/>
      <c r="K58" s="294"/>
      <c r="L58" s="294"/>
      <c r="M58" s="294"/>
    </row>
    <row r="59" spans="2:13">
      <c r="B59" s="397"/>
      <c r="C59" s="207"/>
      <c r="D59" s="207"/>
      <c r="E59" s="293"/>
      <c r="F59" s="207"/>
      <c r="G59" s="207"/>
      <c r="H59" s="402"/>
      <c r="J59" s="296"/>
      <c r="K59" s="294"/>
      <c r="L59" s="294"/>
      <c r="M59" s="294"/>
    </row>
    <row r="60" spans="2:13">
      <c r="B60" s="397"/>
      <c r="C60" s="207"/>
      <c r="D60" s="207"/>
      <c r="E60" s="293"/>
      <c r="F60" s="207"/>
      <c r="G60" s="207"/>
      <c r="J60" s="296"/>
      <c r="K60" s="400"/>
      <c r="L60" s="294"/>
      <c r="M60" s="294"/>
    </row>
    <row r="61" spans="2:13">
      <c r="C61" s="294"/>
      <c r="D61" s="294"/>
      <c r="E61" s="294"/>
      <c r="F61" s="294"/>
      <c r="G61" s="294"/>
      <c r="K61" s="294"/>
      <c r="L61" s="294"/>
      <c r="M61" s="294"/>
    </row>
    <row r="62" spans="2:13">
      <c r="C62" s="301"/>
      <c r="D62" s="301"/>
      <c r="E62" s="301"/>
      <c r="F62" s="301"/>
      <c r="G62" s="301"/>
      <c r="H62" s="398"/>
      <c r="I62" s="301"/>
      <c r="J62" s="301"/>
      <c r="K62" s="294"/>
      <c r="L62" s="294"/>
      <c r="M62" s="294"/>
    </row>
    <row r="65" spans="2:11">
      <c r="B65" s="347"/>
    </row>
    <row r="66" spans="2:11">
      <c r="B66" s="312"/>
    </row>
    <row r="68" spans="2:11">
      <c r="C68" s="393"/>
      <c r="D68" s="393"/>
      <c r="E68" s="393"/>
      <c r="F68" s="393"/>
      <c r="H68" s="405"/>
      <c r="I68" s="393"/>
      <c r="J68" s="393"/>
    </row>
    <row r="69" spans="2:11">
      <c r="C69" s="393"/>
      <c r="D69" s="406"/>
      <c r="E69" s="393"/>
      <c r="F69" s="406"/>
    </row>
    <row r="70" spans="2:11">
      <c r="B70" s="395"/>
      <c r="C70" s="293"/>
      <c r="D70" s="400"/>
      <c r="E70" s="407"/>
      <c r="F70" s="407"/>
      <c r="H70" s="408"/>
    </row>
    <row r="71" spans="2:11">
      <c r="B71" s="397"/>
      <c r="C71" s="292"/>
      <c r="D71" s="400"/>
      <c r="E71" s="293"/>
      <c r="F71" s="400"/>
      <c r="H71" s="409"/>
      <c r="I71" s="410"/>
      <c r="J71" s="410"/>
      <c r="K71" s="349"/>
    </row>
    <row r="72" spans="2:11">
      <c r="B72" s="397"/>
      <c r="C72" s="292"/>
      <c r="D72" s="400"/>
      <c r="E72" s="293"/>
      <c r="F72" s="400"/>
      <c r="H72" s="409"/>
      <c r="I72" s="410"/>
      <c r="J72" s="410"/>
      <c r="K72" s="349"/>
    </row>
    <row r="73" spans="2:11">
      <c r="C73" s="292"/>
      <c r="D73" s="400"/>
      <c r="E73" s="292"/>
      <c r="F73" s="400"/>
      <c r="H73" s="409"/>
      <c r="I73" s="410"/>
      <c r="J73" s="410"/>
      <c r="K73" s="349"/>
    </row>
    <row r="74" spans="2:11">
      <c r="B74" s="395"/>
      <c r="C74" s="293"/>
      <c r="D74" s="400"/>
      <c r="E74" s="293"/>
      <c r="F74" s="400"/>
      <c r="H74" s="408"/>
      <c r="I74" s="385"/>
      <c r="J74" s="385"/>
    </row>
    <row r="75" spans="2:11">
      <c r="B75" s="397"/>
      <c r="C75" s="292"/>
      <c r="D75" s="407"/>
      <c r="E75" s="293"/>
      <c r="F75" s="400"/>
      <c r="H75" s="409"/>
      <c r="I75" s="410"/>
      <c r="J75" s="410"/>
      <c r="K75" s="349"/>
    </row>
    <row r="76" spans="2:11">
      <c r="B76" s="397"/>
      <c r="C76" s="292"/>
      <c r="D76" s="407"/>
      <c r="E76" s="293"/>
      <c r="F76" s="400"/>
    </row>
    <row r="77" spans="2:11">
      <c r="C77" s="301"/>
      <c r="D77" s="407"/>
      <c r="E77" s="301"/>
      <c r="F77" s="407"/>
    </row>
    <row r="78" spans="2:11">
      <c r="C78" s="301"/>
      <c r="D78" s="407"/>
      <c r="E78" s="301"/>
      <c r="F78" s="407"/>
    </row>
    <row r="79" spans="2:11">
      <c r="C79" s="301"/>
      <c r="D79" s="407"/>
      <c r="E79" s="301"/>
      <c r="F79" s="407"/>
    </row>
    <row r="80" spans="2:11">
      <c r="C80" s="294"/>
      <c r="E80" s="294"/>
    </row>
    <row r="81" spans="1:13">
      <c r="A81" s="411"/>
      <c r="B81" s="388"/>
      <c r="C81" s="294"/>
      <c r="E81" s="294"/>
    </row>
    <row r="82" spans="1:13">
      <c r="A82" s="411"/>
      <c r="B82" s="312"/>
    </row>
    <row r="84" spans="1:13">
      <c r="B84" s="347"/>
    </row>
    <row r="85" spans="1:13">
      <c r="B85" s="312"/>
    </row>
    <row r="86" spans="1:13">
      <c r="B86" s="347"/>
    </row>
    <row r="87" spans="1:13">
      <c r="C87" s="393"/>
      <c r="D87" s="393"/>
      <c r="E87" s="393"/>
      <c r="F87" s="393"/>
      <c r="G87" s="393"/>
      <c r="H87" s="394"/>
      <c r="I87" s="393"/>
      <c r="J87" s="393"/>
    </row>
    <row r="88" spans="1:13">
      <c r="C88" s="411"/>
      <c r="D88" s="411"/>
      <c r="E88" s="411"/>
      <c r="F88" s="412"/>
      <c r="G88" s="412"/>
      <c r="H88" s="413"/>
      <c r="I88" s="412"/>
      <c r="J88" s="412"/>
    </row>
    <row r="89" spans="1:13">
      <c r="B89" s="395"/>
      <c r="C89" s="411"/>
      <c r="D89" s="411"/>
      <c r="E89" s="411"/>
      <c r="F89" s="412"/>
      <c r="G89" s="412"/>
      <c r="H89" s="413"/>
      <c r="I89" s="412"/>
      <c r="J89" s="412"/>
      <c r="L89" s="294"/>
      <c r="M89" s="294"/>
    </row>
    <row r="90" spans="1:13">
      <c r="B90" s="397"/>
      <c r="C90" s="411"/>
      <c r="D90" s="411"/>
      <c r="E90" s="412"/>
      <c r="F90" s="411"/>
      <c r="G90" s="412"/>
      <c r="H90" s="413"/>
      <c r="I90" s="412"/>
      <c r="J90" s="411"/>
      <c r="L90" s="294"/>
      <c r="M90" s="294"/>
    </row>
    <row r="91" spans="1:13">
      <c r="B91" s="397"/>
      <c r="C91" s="411"/>
      <c r="D91" s="411"/>
      <c r="E91" s="412"/>
      <c r="F91" s="411"/>
      <c r="G91" s="411"/>
      <c r="H91" s="414"/>
      <c r="I91" s="411"/>
      <c r="J91" s="411"/>
      <c r="L91" s="294"/>
      <c r="M91" s="294"/>
    </row>
    <row r="92" spans="1:13">
      <c r="B92" s="401"/>
      <c r="C92" s="411"/>
      <c r="D92" s="411"/>
      <c r="E92" s="411"/>
      <c r="F92" s="411"/>
      <c r="G92" s="411"/>
      <c r="H92" s="414"/>
      <c r="I92" s="411"/>
      <c r="J92" s="411"/>
      <c r="L92" s="294"/>
      <c r="M92" s="294"/>
    </row>
    <row r="93" spans="1:13">
      <c r="B93" s="404"/>
      <c r="C93" s="412"/>
      <c r="D93" s="412"/>
      <c r="E93" s="411"/>
      <c r="F93" s="411"/>
      <c r="G93" s="411"/>
      <c r="H93" s="414"/>
      <c r="I93" s="411"/>
      <c r="J93" s="411"/>
      <c r="L93" s="294"/>
      <c r="M93" s="294"/>
    </row>
    <row r="94" spans="1:13">
      <c r="B94" s="404"/>
      <c r="C94" s="412"/>
      <c r="D94" s="412"/>
      <c r="E94" s="411"/>
      <c r="F94" s="411"/>
      <c r="G94" s="411"/>
      <c r="H94" s="414"/>
      <c r="I94" s="411"/>
      <c r="J94" s="411"/>
      <c r="L94" s="294"/>
      <c r="M94" s="294"/>
    </row>
    <row r="95" spans="1:13">
      <c r="C95" s="412"/>
      <c r="D95" s="412"/>
      <c r="E95" s="411"/>
      <c r="F95" s="411"/>
      <c r="G95" s="411"/>
      <c r="H95" s="414"/>
      <c r="I95" s="411"/>
      <c r="J95" s="411"/>
      <c r="L95" s="294"/>
      <c r="M95" s="294"/>
    </row>
    <row r="96" spans="1:13">
      <c r="B96" s="395"/>
      <c r="C96" s="412"/>
      <c r="D96" s="412"/>
      <c r="E96" s="411"/>
      <c r="F96" s="412"/>
      <c r="G96" s="412"/>
      <c r="H96" s="413"/>
      <c r="I96" s="412"/>
      <c r="J96" s="412"/>
      <c r="L96" s="294"/>
      <c r="M96" s="294"/>
    </row>
    <row r="97" spans="2:13">
      <c r="B97" s="397"/>
      <c r="C97" s="411"/>
      <c r="D97" s="411"/>
      <c r="E97" s="412"/>
      <c r="F97" s="411"/>
      <c r="G97" s="411"/>
      <c r="H97" s="414"/>
      <c r="I97" s="411"/>
      <c r="J97" s="411"/>
      <c r="L97" s="294"/>
      <c r="M97" s="294"/>
    </row>
    <row r="98" spans="2:13">
      <c r="B98" s="397"/>
      <c r="C98" s="411"/>
      <c r="D98" s="411"/>
      <c r="E98" s="412"/>
      <c r="F98" s="411"/>
      <c r="G98" s="411"/>
      <c r="H98" s="414"/>
      <c r="I98" s="411"/>
      <c r="J98" s="411"/>
      <c r="L98" s="294"/>
      <c r="M98" s="294"/>
    </row>
    <row r="99" spans="2:13">
      <c r="C99" s="411"/>
      <c r="D99" s="411"/>
      <c r="E99" s="412"/>
      <c r="F99" s="411"/>
      <c r="G99" s="411"/>
      <c r="H99" s="414"/>
      <c r="I99" s="411"/>
      <c r="J99" s="411"/>
      <c r="L99" s="294"/>
      <c r="M99" s="294"/>
    </row>
    <row r="102" spans="2:13">
      <c r="B102" s="347"/>
    </row>
    <row r="103" spans="2:13">
      <c r="B103" s="312"/>
    </row>
    <row r="105" spans="2:13">
      <c r="C105" s="393"/>
      <c r="D105" s="393"/>
      <c r="E105" s="393"/>
      <c r="F105" s="393"/>
      <c r="H105" s="405"/>
      <c r="I105" s="393"/>
      <c r="J105" s="393"/>
    </row>
    <row r="106" spans="2:13">
      <c r="F106" s="406"/>
    </row>
    <row r="107" spans="2:13">
      <c r="B107" s="395"/>
      <c r="C107" s="412"/>
      <c r="D107" s="412"/>
      <c r="E107" s="412"/>
      <c r="F107" s="407"/>
      <c r="H107" s="408"/>
    </row>
    <row r="108" spans="2:13">
      <c r="B108" s="397"/>
      <c r="C108" s="412"/>
      <c r="D108" s="412"/>
      <c r="E108" s="412"/>
      <c r="F108" s="400"/>
      <c r="H108" s="409"/>
      <c r="I108" s="415"/>
      <c r="J108" s="415"/>
      <c r="K108" s="349"/>
    </row>
    <row r="109" spans="2:13">
      <c r="B109" s="397"/>
      <c r="C109" s="412"/>
      <c r="D109" s="412"/>
      <c r="E109" s="412"/>
      <c r="F109" s="400"/>
      <c r="H109" s="409"/>
      <c r="I109" s="415"/>
      <c r="J109" s="415"/>
      <c r="K109" s="349"/>
    </row>
    <row r="110" spans="2:13">
      <c r="C110" s="412"/>
      <c r="D110" s="412"/>
      <c r="E110" s="412"/>
      <c r="F110" s="400"/>
      <c r="H110" s="409"/>
      <c r="I110" s="410"/>
      <c r="J110" s="410"/>
      <c r="K110" s="349"/>
    </row>
    <row r="111" spans="2:13">
      <c r="B111" s="395"/>
      <c r="C111" s="412"/>
      <c r="D111" s="412"/>
      <c r="E111" s="412"/>
      <c r="F111" s="400"/>
      <c r="H111" s="408"/>
      <c r="I111" s="385"/>
      <c r="J111" s="385"/>
    </row>
    <row r="112" spans="2:13">
      <c r="B112" s="397"/>
      <c r="C112" s="412"/>
      <c r="D112" s="412"/>
      <c r="E112" s="412"/>
      <c r="F112" s="400"/>
      <c r="H112" s="409"/>
      <c r="I112" s="415"/>
      <c r="J112" s="415"/>
      <c r="K112" s="349"/>
    </row>
    <row r="113" spans="1:12">
      <c r="B113" s="397"/>
      <c r="C113" s="412"/>
      <c r="D113" s="412"/>
      <c r="E113" s="412"/>
      <c r="F113" s="400"/>
    </row>
    <row r="114" spans="1:12">
      <c r="C114" s="301"/>
      <c r="D114" s="407"/>
      <c r="E114" s="301"/>
      <c r="F114" s="407"/>
    </row>
    <row r="115" spans="1:12">
      <c r="C115" s="301"/>
      <c r="D115" s="407"/>
      <c r="E115" s="301"/>
      <c r="F115" s="407"/>
    </row>
    <row r="117" spans="1:12">
      <c r="A117" s="411"/>
      <c r="B117" s="347"/>
      <c r="C117" s="294"/>
      <c r="E117" s="294"/>
    </row>
    <row r="118" spans="1:12">
      <c r="C118" s="294"/>
      <c r="E118" s="294"/>
    </row>
    <row r="119" spans="1:12">
      <c r="C119" s="393"/>
      <c r="D119" s="393"/>
      <c r="E119" s="393"/>
      <c r="F119" s="393"/>
      <c r="G119" s="393"/>
      <c r="H119" s="394"/>
      <c r="I119" s="393"/>
      <c r="J119" s="393"/>
    </row>
    <row r="121" spans="1:12">
      <c r="B121" s="374"/>
      <c r="C121" s="391"/>
      <c r="D121" s="391"/>
      <c r="E121" s="416"/>
      <c r="F121" s="391"/>
      <c r="G121" s="380"/>
      <c r="H121" s="417"/>
      <c r="I121" s="391"/>
      <c r="J121" s="391"/>
    </row>
    <row r="122" spans="1:12" ht="15.25">
      <c r="B122" s="374"/>
      <c r="C122" s="383"/>
      <c r="D122" s="383"/>
      <c r="E122" s="383"/>
      <c r="F122" s="383"/>
      <c r="G122" s="383"/>
      <c r="H122" s="418"/>
      <c r="I122" s="383"/>
      <c r="J122" s="383"/>
    </row>
    <row r="123" spans="1:12">
      <c r="B123" s="374"/>
      <c r="C123" s="382"/>
      <c r="D123" s="382"/>
      <c r="E123" s="382"/>
      <c r="F123" s="382"/>
      <c r="G123" s="382"/>
      <c r="H123" s="419"/>
      <c r="I123" s="382"/>
      <c r="J123" s="382"/>
    </row>
    <row r="124" spans="1:12">
      <c r="B124" s="374"/>
      <c r="C124" s="382"/>
      <c r="D124" s="382"/>
      <c r="E124" s="382"/>
      <c r="F124" s="382"/>
      <c r="G124" s="382"/>
      <c r="H124" s="419"/>
      <c r="I124" s="382"/>
      <c r="J124" s="382"/>
      <c r="K124" s="382"/>
      <c r="L124" s="382"/>
    </row>
    <row r="125" spans="1:12">
      <c r="B125" s="374"/>
      <c r="C125" s="382"/>
      <c r="D125" s="382"/>
      <c r="E125" s="382"/>
      <c r="F125" s="382"/>
      <c r="G125" s="382"/>
      <c r="H125" s="419"/>
      <c r="I125" s="382"/>
      <c r="J125" s="382"/>
      <c r="K125" s="382"/>
      <c r="L125" s="382"/>
    </row>
    <row r="126" spans="1:12">
      <c r="B126" s="374"/>
      <c r="C126" s="393"/>
      <c r="D126" s="393"/>
      <c r="F126" s="393"/>
      <c r="G126" s="393"/>
      <c r="H126" s="419"/>
      <c r="I126" s="382"/>
      <c r="J126" s="382"/>
      <c r="K126" s="382"/>
      <c r="L126" s="382"/>
    </row>
    <row r="127" spans="1:12">
      <c r="B127" s="374"/>
      <c r="C127" s="393"/>
      <c r="D127" s="393"/>
      <c r="F127" s="393"/>
      <c r="G127" s="393"/>
      <c r="H127" s="419"/>
      <c r="I127" s="382"/>
      <c r="J127" s="382"/>
      <c r="K127" s="382"/>
      <c r="L127" s="382"/>
    </row>
    <row r="128" spans="1:12">
      <c r="B128" s="374"/>
      <c r="G128" s="382"/>
      <c r="H128" s="419"/>
      <c r="I128" s="382"/>
      <c r="J128" s="382"/>
      <c r="K128" s="382"/>
      <c r="L128" s="382"/>
    </row>
    <row r="129" spans="2:12">
      <c r="B129" s="374"/>
      <c r="C129" s="416"/>
      <c r="D129" s="416"/>
      <c r="F129" s="416"/>
      <c r="G129" s="420"/>
      <c r="H129" s="419"/>
      <c r="I129" s="382"/>
      <c r="J129" s="382"/>
      <c r="K129" s="382"/>
      <c r="L129" s="382"/>
    </row>
    <row r="130" spans="2:12" ht="15.25">
      <c r="B130" s="374"/>
      <c r="C130" s="421"/>
      <c r="D130" s="421"/>
      <c r="F130" s="421"/>
      <c r="G130" s="421"/>
      <c r="H130" s="419"/>
      <c r="I130" s="382"/>
      <c r="J130" s="382"/>
      <c r="K130" s="382"/>
      <c r="L130" s="382"/>
    </row>
    <row r="131" spans="2:12">
      <c r="B131" s="374"/>
      <c r="C131" s="382"/>
      <c r="D131" s="382"/>
      <c r="F131" s="382"/>
      <c r="G131" s="382"/>
      <c r="H131" s="419"/>
      <c r="I131" s="382"/>
      <c r="J131" s="382"/>
      <c r="K131" s="382"/>
      <c r="L131" s="382"/>
    </row>
    <row r="132" spans="2:12">
      <c r="B132" s="374"/>
      <c r="C132" s="382"/>
      <c r="F132" s="382"/>
      <c r="G132" s="382"/>
      <c r="H132" s="419"/>
      <c r="I132" s="382"/>
      <c r="J132" s="382"/>
      <c r="K132" s="382"/>
      <c r="L132" s="382"/>
    </row>
    <row r="133" spans="2:12">
      <c r="B133" s="374"/>
      <c r="C133" s="382"/>
      <c r="D133" s="382"/>
      <c r="E133" s="382"/>
      <c r="F133" s="382"/>
      <c r="G133" s="382"/>
      <c r="H133" s="419"/>
      <c r="I133" s="382"/>
      <c r="J133" s="382"/>
      <c r="K133" s="382"/>
      <c r="L133" s="382"/>
    </row>
    <row r="134" spans="2:12">
      <c r="B134" s="374"/>
      <c r="C134" s="393"/>
      <c r="D134" s="393"/>
      <c r="E134" s="393"/>
      <c r="F134" s="382"/>
      <c r="G134" s="382"/>
      <c r="H134" s="419"/>
      <c r="I134" s="382"/>
      <c r="J134" s="382"/>
      <c r="K134" s="382"/>
      <c r="L134" s="382"/>
    </row>
    <row r="135" spans="2:12">
      <c r="B135" s="374"/>
      <c r="C135" s="382"/>
      <c r="D135" s="382"/>
      <c r="E135" s="422"/>
      <c r="F135" s="382"/>
      <c r="G135" s="382"/>
      <c r="H135" s="419"/>
      <c r="I135" s="382"/>
      <c r="J135" s="382"/>
      <c r="K135" s="382"/>
      <c r="L135" s="382"/>
    </row>
    <row r="136" spans="2:12" ht="15.25">
      <c r="B136" s="374"/>
      <c r="C136" s="390"/>
      <c r="D136" s="390"/>
      <c r="E136" s="390"/>
    </row>
    <row r="137" spans="2:12">
      <c r="B137" s="374"/>
      <c r="C137" s="382"/>
      <c r="D137" s="382"/>
      <c r="E137" s="423"/>
    </row>
    <row r="138" spans="2:12">
      <c r="B138" s="374"/>
      <c r="C138" s="294"/>
      <c r="E138" s="294"/>
    </row>
    <row r="139" spans="2:12">
      <c r="C139" s="393"/>
      <c r="D139" s="393"/>
      <c r="E139" s="393"/>
      <c r="F139" s="393"/>
      <c r="G139" s="393"/>
      <c r="H139" s="394"/>
      <c r="I139" s="393"/>
      <c r="J139" s="393"/>
      <c r="K139" s="393"/>
      <c r="L139" s="393"/>
    </row>
    <row r="141" spans="2:12">
      <c r="B141" s="374"/>
      <c r="C141" s="382"/>
    </row>
    <row r="142" spans="2:12" ht="15.25">
      <c r="B142" s="374"/>
      <c r="C142" s="390"/>
    </row>
    <row r="143" spans="2:12">
      <c r="B143" s="374"/>
      <c r="C143" s="382"/>
    </row>
    <row r="144" spans="2:12">
      <c r="C144" s="294"/>
    </row>
    <row r="145" spans="1:10">
      <c r="B145" s="404"/>
      <c r="C145" s="374"/>
    </row>
    <row r="146" spans="1:10">
      <c r="B146" s="374"/>
      <c r="C146" s="382"/>
    </row>
    <row r="147" spans="1:10" ht="15.25">
      <c r="B147" s="374"/>
      <c r="C147" s="390"/>
    </row>
    <row r="148" spans="1:10">
      <c r="B148" s="374"/>
      <c r="C148" s="382"/>
    </row>
    <row r="153" spans="1:10">
      <c r="A153" s="411"/>
      <c r="B153" s="388"/>
      <c r="C153" s="294"/>
      <c r="E153" s="294"/>
    </row>
    <row r="154" spans="1:10">
      <c r="B154" s="312"/>
    </row>
    <row r="156" spans="1:10">
      <c r="B156" s="347"/>
    </row>
    <row r="157" spans="1:10">
      <c r="B157" s="312"/>
    </row>
    <row r="158" spans="1:10">
      <c r="B158" s="347"/>
    </row>
    <row r="159" spans="1:10">
      <c r="C159" s="393"/>
      <c r="D159" s="393"/>
      <c r="E159" s="393"/>
      <c r="F159" s="393"/>
      <c r="G159" s="393"/>
      <c r="H159" s="394"/>
      <c r="I159" s="393"/>
      <c r="J159" s="393"/>
    </row>
    <row r="160" spans="1:10">
      <c r="C160" s="411"/>
      <c r="D160" s="411"/>
      <c r="E160" s="411"/>
      <c r="F160" s="412"/>
      <c r="G160" s="412"/>
      <c r="H160" s="413"/>
      <c r="I160" s="412"/>
      <c r="J160" s="412"/>
    </row>
    <row r="161" spans="2:10">
      <c r="B161" s="395"/>
      <c r="C161" s="411"/>
      <c r="D161" s="411"/>
      <c r="E161" s="411"/>
      <c r="F161" s="412"/>
      <c r="G161" s="412"/>
      <c r="H161" s="413"/>
      <c r="I161" s="412"/>
      <c r="J161" s="412"/>
    </row>
    <row r="162" spans="2:10">
      <c r="B162" s="397"/>
      <c r="C162" s="411"/>
      <c r="D162" s="411"/>
      <c r="E162" s="412"/>
      <c r="G162" s="412"/>
      <c r="H162" s="413"/>
      <c r="I162" s="412"/>
      <c r="J162" s="411"/>
    </row>
    <row r="163" spans="2:10">
      <c r="B163" s="397"/>
      <c r="C163" s="411"/>
      <c r="D163" s="411"/>
      <c r="E163" s="412"/>
      <c r="F163" s="411"/>
      <c r="G163" s="411"/>
      <c r="H163" s="414"/>
      <c r="I163" s="411"/>
      <c r="J163" s="411"/>
    </row>
    <row r="164" spans="2:10">
      <c r="B164" s="401"/>
      <c r="C164" s="411"/>
      <c r="D164" s="411"/>
      <c r="E164" s="411"/>
      <c r="F164" s="411"/>
      <c r="G164" s="411"/>
      <c r="H164" s="414"/>
      <c r="I164" s="411"/>
      <c r="J164" s="411"/>
    </row>
    <row r="165" spans="2:10">
      <c r="B165" s="404"/>
      <c r="C165" s="412"/>
      <c r="D165" s="412"/>
      <c r="E165" s="411"/>
      <c r="F165" s="411"/>
      <c r="G165" s="411"/>
      <c r="H165" s="414"/>
      <c r="I165" s="411"/>
      <c r="J165" s="411"/>
    </row>
    <row r="166" spans="2:10">
      <c r="B166" s="404"/>
      <c r="C166" s="412"/>
      <c r="D166" s="412"/>
      <c r="E166" s="411"/>
      <c r="F166" s="411"/>
      <c r="G166" s="411"/>
      <c r="H166" s="414"/>
      <c r="I166" s="411"/>
      <c r="J166" s="411"/>
    </row>
    <row r="167" spans="2:10">
      <c r="C167" s="412"/>
      <c r="D167" s="412"/>
      <c r="E167" s="411"/>
      <c r="F167" s="411"/>
      <c r="G167" s="411"/>
      <c r="H167" s="414"/>
      <c r="I167" s="411"/>
      <c r="J167" s="411"/>
    </row>
    <row r="168" spans="2:10">
      <c r="B168" s="395"/>
      <c r="C168" s="412"/>
      <c r="D168" s="412"/>
      <c r="E168" s="411"/>
      <c r="F168" s="412"/>
      <c r="G168" s="412"/>
      <c r="H168" s="413"/>
      <c r="I168" s="412"/>
      <c r="J168" s="412"/>
    </row>
    <row r="169" spans="2:10">
      <c r="B169" s="397"/>
      <c r="C169" s="411"/>
      <c r="D169" s="411"/>
      <c r="E169" s="412"/>
      <c r="F169" s="411"/>
      <c r="G169" s="411"/>
      <c r="H169" s="414"/>
      <c r="I169" s="411"/>
      <c r="J169" s="411"/>
    </row>
    <row r="170" spans="2:10">
      <c r="B170" s="397"/>
      <c r="C170" s="411"/>
      <c r="D170" s="411"/>
      <c r="E170" s="412"/>
      <c r="F170" s="411"/>
      <c r="G170" s="411"/>
      <c r="H170" s="414"/>
      <c r="I170" s="411"/>
      <c r="J170" s="411"/>
    </row>
    <row r="171" spans="2:10">
      <c r="C171" s="411"/>
      <c r="D171" s="411"/>
      <c r="E171" s="412"/>
      <c r="F171" s="411"/>
      <c r="G171" s="411"/>
      <c r="H171" s="414"/>
      <c r="I171" s="411"/>
      <c r="J171" s="411"/>
    </row>
    <row r="174" spans="2:10">
      <c r="B174" s="347"/>
    </row>
    <row r="175" spans="2:10">
      <c r="B175" s="312"/>
    </row>
    <row r="177" spans="1:12">
      <c r="C177" s="393"/>
      <c r="D177" s="393"/>
      <c r="E177" s="393"/>
      <c r="F177" s="393"/>
      <c r="H177" s="405"/>
      <c r="I177" s="393"/>
      <c r="J177" s="393"/>
    </row>
    <row r="178" spans="1:12">
      <c r="F178" s="406"/>
    </row>
    <row r="179" spans="1:12">
      <c r="B179" s="395"/>
      <c r="C179" s="412"/>
      <c r="D179" s="412"/>
      <c r="E179" s="412"/>
      <c r="F179" s="407"/>
      <c r="H179" s="408"/>
    </row>
    <row r="180" spans="1:12">
      <c r="B180" s="397"/>
      <c r="C180" s="412"/>
      <c r="D180" s="412"/>
      <c r="E180" s="412"/>
      <c r="F180" s="400"/>
      <c r="H180" s="409"/>
      <c r="I180" s="424"/>
      <c r="J180" s="424"/>
    </row>
    <row r="181" spans="1:12">
      <c r="B181" s="397"/>
      <c r="C181" s="412"/>
      <c r="D181" s="412"/>
      <c r="E181" s="412"/>
      <c r="F181" s="400"/>
      <c r="H181" s="409"/>
      <c r="I181" s="424"/>
      <c r="J181" s="424"/>
    </row>
    <row r="182" spans="1:12">
      <c r="C182" s="412"/>
      <c r="D182" s="412"/>
      <c r="E182" s="412"/>
      <c r="F182" s="400"/>
      <c r="H182" s="409"/>
      <c r="I182" s="410"/>
      <c r="J182" s="410"/>
    </row>
    <row r="183" spans="1:12">
      <c r="B183" s="395"/>
      <c r="C183" s="412"/>
      <c r="D183" s="412"/>
      <c r="E183" s="412"/>
      <c r="F183" s="400"/>
      <c r="H183" s="408"/>
      <c r="I183" s="385"/>
      <c r="J183" s="385"/>
    </row>
    <row r="184" spans="1:12">
      <c r="B184" s="397"/>
      <c r="C184" s="412"/>
      <c r="D184" s="412"/>
      <c r="E184" s="412"/>
      <c r="F184" s="400"/>
      <c r="H184" s="409"/>
      <c r="I184" s="424"/>
      <c r="J184" s="424"/>
    </row>
    <row r="185" spans="1:12">
      <c r="B185" s="397"/>
      <c r="C185" s="412"/>
      <c r="D185" s="412"/>
      <c r="E185" s="412"/>
      <c r="F185" s="400"/>
    </row>
    <row r="189" spans="1:12">
      <c r="A189" s="411"/>
      <c r="B189" s="347"/>
      <c r="C189" s="294"/>
      <c r="E189" s="294"/>
    </row>
    <row r="190" spans="1:12">
      <c r="C190" s="294"/>
      <c r="E190" s="294"/>
    </row>
    <row r="191" spans="1:12">
      <c r="C191" s="393"/>
      <c r="D191" s="393"/>
      <c r="E191" s="393"/>
      <c r="F191" s="393"/>
      <c r="G191" s="393"/>
      <c r="H191" s="394"/>
      <c r="I191" s="393"/>
      <c r="J191" s="393"/>
      <c r="K191" s="393"/>
      <c r="L191" s="393"/>
    </row>
    <row r="193" spans="2:12">
      <c r="B193" s="374"/>
      <c r="C193" s="391"/>
      <c r="D193" s="391"/>
      <c r="E193" s="416"/>
      <c r="F193" s="391"/>
      <c r="G193" s="380"/>
      <c r="H193" s="417"/>
      <c r="I193" s="391"/>
      <c r="J193" s="391"/>
      <c r="K193" s="416"/>
      <c r="L193" s="416"/>
    </row>
    <row r="194" spans="2:12" ht="15.25">
      <c r="B194" s="374"/>
      <c r="C194" s="383"/>
      <c r="D194" s="383"/>
      <c r="E194" s="383"/>
      <c r="F194" s="383"/>
      <c r="G194" s="383"/>
      <c r="H194" s="418"/>
      <c r="I194" s="383"/>
      <c r="J194" s="383"/>
      <c r="K194" s="421"/>
      <c r="L194" s="421"/>
    </row>
    <row r="195" spans="2:12">
      <c r="B195" s="374"/>
      <c r="C195" s="382"/>
      <c r="D195" s="382"/>
      <c r="E195" s="382"/>
      <c r="F195" s="382"/>
      <c r="G195" s="382"/>
      <c r="H195" s="419"/>
      <c r="I195" s="382"/>
      <c r="J195" s="382"/>
      <c r="K195" s="382"/>
      <c r="L195" s="382"/>
    </row>
    <row r="196" spans="2:12">
      <c r="B196" s="374"/>
      <c r="C196" s="382"/>
      <c r="D196" s="382"/>
      <c r="E196" s="382"/>
      <c r="F196" s="382"/>
      <c r="G196" s="382"/>
      <c r="H196" s="419"/>
      <c r="I196" s="382"/>
      <c r="J196" s="382"/>
      <c r="K196" s="382"/>
      <c r="L196" s="382"/>
    </row>
    <row r="197" spans="2:12">
      <c r="B197" s="374"/>
      <c r="C197" s="382"/>
      <c r="D197" s="382"/>
      <c r="E197" s="382"/>
      <c r="F197" s="382"/>
      <c r="G197" s="382"/>
      <c r="H197" s="419"/>
      <c r="I197" s="382"/>
      <c r="J197" s="382"/>
      <c r="K197" s="382"/>
      <c r="L197" s="382"/>
    </row>
    <row r="198" spans="2:12" ht="15.25">
      <c r="B198" s="374"/>
      <c r="C198" s="390"/>
      <c r="E198" s="294"/>
    </row>
    <row r="199" spans="2:12">
      <c r="B199" s="374"/>
      <c r="C199" s="382"/>
      <c r="E199" s="294"/>
    </row>
    <row r="200" spans="2:12">
      <c r="B200" s="374"/>
      <c r="C200" s="294"/>
      <c r="E200" s="294"/>
    </row>
    <row r="201" spans="2:12">
      <c r="C201" s="393"/>
      <c r="D201" s="393"/>
      <c r="E201" s="393"/>
      <c r="F201" s="393"/>
      <c r="G201" s="393"/>
      <c r="H201" s="394"/>
      <c r="I201" s="393"/>
      <c r="J201" s="393"/>
      <c r="K201" s="393"/>
      <c r="L201" s="393"/>
    </row>
    <row r="203" spans="2:12">
      <c r="B203" s="374"/>
      <c r="C203" s="382"/>
    </row>
    <row r="204" spans="2:12" ht="15.25">
      <c r="B204" s="374"/>
      <c r="C204" s="390"/>
    </row>
    <row r="205" spans="2:12">
      <c r="B205" s="374"/>
      <c r="C205" s="382"/>
      <c r="D205" s="382"/>
      <c r="G205" s="374"/>
    </row>
    <row r="206" spans="2:12">
      <c r="C206" s="294"/>
      <c r="E206" s="294"/>
      <c r="G206" s="374"/>
    </row>
    <row r="207" spans="2:12">
      <c r="B207" s="404"/>
      <c r="C207" s="382"/>
      <c r="E207" s="425"/>
      <c r="G207" s="425"/>
    </row>
    <row r="208" spans="2:12">
      <c r="B208" s="374"/>
      <c r="C208" s="382"/>
      <c r="E208" s="338"/>
    </row>
    <row r="209" spans="1:10" ht="15.25">
      <c r="B209" s="374"/>
      <c r="C209" s="390"/>
      <c r="E209" s="343"/>
    </row>
    <row r="210" spans="1:10">
      <c r="B210" s="374"/>
      <c r="C210" s="382"/>
      <c r="E210" s="338"/>
    </row>
    <row r="212" spans="1:10">
      <c r="C212" s="426"/>
    </row>
    <row r="213" spans="1:10" outlineLevel="1">
      <c r="A213" s="347"/>
    </row>
    <row r="214" spans="1:10" outlineLevel="1">
      <c r="A214" s="411"/>
      <c r="B214" s="388"/>
      <c r="C214" s="294"/>
      <c r="E214" s="294"/>
    </row>
    <row r="215" spans="1:10" outlineLevel="1">
      <c r="B215" s="312"/>
    </row>
    <row r="216" spans="1:10" outlineLevel="1">
      <c r="A216" s="411"/>
    </row>
    <row r="217" spans="1:10" outlineLevel="1">
      <c r="B217" s="347"/>
    </row>
    <row r="218" spans="1:10" outlineLevel="1">
      <c r="B218" s="312"/>
    </row>
    <row r="219" spans="1:10" outlineLevel="1">
      <c r="B219" s="347"/>
    </row>
    <row r="220" spans="1:10" outlineLevel="1">
      <c r="C220" s="393"/>
      <c r="D220" s="393"/>
      <c r="E220" s="393"/>
      <c r="F220" s="393"/>
      <c r="G220" s="393"/>
      <c r="H220" s="394"/>
      <c r="I220" s="393"/>
      <c r="J220" s="393"/>
    </row>
    <row r="221" spans="1:10" outlineLevel="1">
      <c r="C221" s="411"/>
      <c r="D221" s="411"/>
      <c r="E221" s="411"/>
      <c r="F221" s="412"/>
      <c r="G221" s="412"/>
      <c r="H221" s="413"/>
      <c r="I221" s="412"/>
      <c r="J221" s="412"/>
    </row>
    <row r="222" spans="1:10" outlineLevel="1">
      <c r="B222" s="395"/>
      <c r="C222" s="411"/>
      <c r="D222" s="411"/>
      <c r="E222" s="411"/>
      <c r="F222" s="412"/>
      <c r="G222" s="412"/>
      <c r="H222" s="413"/>
      <c r="I222" s="412"/>
      <c r="J222" s="412"/>
    </row>
    <row r="223" spans="1:10" outlineLevel="1">
      <c r="B223" s="397"/>
      <c r="C223" s="411"/>
      <c r="D223" s="411"/>
      <c r="E223" s="412"/>
    </row>
    <row r="224" spans="1:10" outlineLevel="1">
      <c r="B224" s="397"/>
      <c r="C224" s="411"/>
      <c r="D224" s="411"/>
      <c r="E224" s="412"/>
      <c r="F224" s="411"/>
      <c r="G224" s="411"/>
      <c r="H224" s="414"/>
      <c r="I224" s="411"/>
      <c r="J224" s="411"/>
    </row>
    <row r="225" spans="2:10" outlineLevel="1">
      <c r="B225" s="401"/>
      <c r="C225" s="411"/>
      <c r="D225" s="411"/>
      <c r="E225" s="411"/>
      <c r="F225" s="411"/>
      <c r="G225" s="411"/>
      <c r="H225" s="414"/>
      <c r="I225" s="411"/>
      <c r="J225" s="411"/>
    </row>
    <row r="226" spans="2:10" outlineLevel="1">
      <c r="B226" s="404"/>
      <c r="C226" s="412"/>
      <c r="D226" s="412"/>
      <c r="E226" s="411"/>
      <c r="F226" s="411"/>
      <c r="G226" s="411"/>
      <c r="H226" s="414"/>
      <c r="I226" s="411"/>
      <c r="J226" s="411"/>
    </row>
    <row r="227" spans="2:10" outlineLevel="1">
      <c r="B227" s="404"/>
      <c r="C227" s="412"/>
      <c r="D227" s="412"/>
      <c r="E227" s="411"/>
      <c r="F227" s="411"/>
      <c r="G227" s="411"/>
      <c r="H227" s="414"/>
      <c r="I227" s="411"/>
      <c r="J227" s="411"/>
    </row>
    <row r="228" spans="2:10" outlineLevel="1">
      <c r="C228" s="412"/>
      <c r="D228" s="412"/>
      <c r="E228" s="411"/>
      <c r="F228" s="411"/>
      <c r="G228" s="411"/>
      <c r="H228" s="414"/>
      <c r="I228" s="411"/>
      <c r="J228" s="411"/>
    </row>
    <row r="229" spans="2:10" outlineLevel="1">
      <c r="B229" s="395"/>
      <c r="C229" s="412"/>
      <c r="D229" s="412"/>
      <c r="E229" s="411"/>
      <c r="F229" s="412"/>
      <c r="G229" s="412"/>
      <c r="H229" s="413"/>
      <c r="I229" s="412"/>
      <c r="J229" s="412"/>
    </row>
    <row r="230" spans="2:10" outlineLevel="1">
      <c r="B230" s="397"/>
      <c r="C230" s="411"/>
      <c r="D230" s="411"/>
      <c r="E230" s="412"/>
      <c r="F230" s="411"/>
      <c r="G230" s="411"/>
      <c r="H230" s="414"/>
      <c r="I230" s="411"/>
      <c r="J230" s="411"/>
    </row>
    <row r="231" spans="2:10" outlineLevel="1">
      <c r="B231" s="397"/>
      <c r="C231" s="411"/>
      <c r="D231" s="411"/>
      <c r="E231" s="412"/>
      <c r="F231" s="411"/>
      <c r="G231" s="411"/>
      <c r="H231" s="414"/>
      <c r="I231" s="411"/>
      <c r="J231" s="411"/>
    </row>
    <row r="232" spans="2:10" outlineLevel="1">
      <c r="C232" s="411"/>
      <c r="D232" s="411"/>
      <c r="E232" s="412"/>
      <c r="F232" s="411"/>
      <c r="G232" s="411"/>
      <c r="H232" s="414"/>
      <c r="I232" s="411"/>
      <c r="J232" s="411"/>
    </row>
    <row r="233" spans="2:10" outlineLevel="1"/>
    <row r="234" spans="2:10" outlineLevel="1"/>
    <row r="235" spans="2:10" outlineLevel="1">
      <c r="B235" s="347"/>
    </row>
    <row r="236" spans="2:10" outlineLevel="1">
      <c r="B236" s="312"/>
    </row>
    <row r="237" spans="2:10" outlineLevel="1"/>
    <row r="238" spans="2:10" outlineLevel="1">
      <c r="C238" s="393"/>
      <c r="D238" s="393"/>
      <c r="E238" s="393"/>
      <c r="F238" s="393"/>
      <c r="H238" s="405"/>
      <c r="I238" s="393"/>
      <c r="J238" s="393"/>
    </row>
    <row r="239" spans="2:10" outlineLevel="1">
      <c r="F239" s="406"/>
    </row>
    <row r="240" spans="2:10" outlineLevel="1">
      <c r="B240" s="395"/>
      <c r="C240" s="412"/>
      <c r="D240" s="412"/>
      <c r="E240" s="412"/>
      <c r="F240" s="407"/>
      <c r="H240" s="408"/>
    </row>
    <row r="241" spans="1:12" outlineLevel="1">
      <c r="B241" s="397"/>
      <c r="C241" s="412"/>
      <c r="D241" s="412"/>
      <c r="E241" s="412"/>
      <c r="F241" s="400"/>
      <c r="H241" s="409"/>
      <c r="I241" s="424"/>
      <c r="J241" s="424"/>
    </row>
    <row r="242" spans="1:12" outlineLevel="1">
      <c r="B242" s="397"/>
      <c r="C242" s="412"/>
      <c r="D242" s="412"/>
      <c r="E242" s="412"/>
      <c r="F242" s="400"/>
      <c r="H242" s="409"/>
      <c r="I242" s="424"/>
      <c r="J242" s="424"/>
    </row>
    <row r="243" spans="1:12" outlineLevel="1">
      <c r="C243" s="412"/>
      <c r="D243" s="412"/>
      <c r="E243" s="412"/>
      <c r="F243" s="400"/>
      <c r="H243" s="409"/>
      <c r="I243" s="410"/>
      <c r="J243" s="410"/>
    </row>
    <row r="244" spans="1:12" outlineLevel="1">
      <c r="B244" s="395"/>
      <c r="C244" s="412"/>
      <c r="D244" s="412"/>
      <c r="E244" s="412"/>
      <c r="F244" s="400"/>
      <c r="H244" s="408"/>
      <c r="I244" s="385"/>
      <c r="J244" s="385"/>
    </row>
    <row r="245" spans="1:12" outlineLevel="1">
      <c r="B245" s="397"/>
      <c r="C245" s="412"/>
      <c r="D245" s="412"/>
      <c r="E245" s="412"/>
      <c r="F245" s="400"/>
      <c r="H245" s="409"/>
      <c r="I245" s="424"/>
      <c r="J245" s="424"/>
    </row>
    <row r="246" spans="1:12" outlineLevel="1">
      <c r="B246" s="397"/>
      <c r="C246" s="412"/>
      <c r="D246" s="412"/>
      <c r="E246" s="412"/>
      <c r="F246" s="400"/>
    </row>
    <row r="247" spans="1:12" outlineLevel="1"/>
    <row r="248" spans="1:12" outlineLevel="1"/>
    <row r="249" spans="1:12" outlineLevel="1"/>
    <row r="250" spans="1:12" outlineLevel="1"/>
    <row r="251" spans="1:12" outlineLevel="1">
      <c r="A251" s="411"/>
      <c r="B251" s="347"/>
      <c r="C251" s="294"/>
      <c r="E251" s="294"/>
    </row>
    <row r="252" spans="1:12" outlineLevel="1">
      <c r="C252" s="294"/>
      <c r="E252" s="294"/>
    </row>
    <row r="253" spans="1:12" outlineLevel="1">
      <c r="C253" s="393"/>
      <c r="D253" s="393"/>
      <c r="E253" s="393"/>
      <c r="F253" s="393"/>
      <c r="G253" s="393"/>
      <c r="H253" s="394"/>
      <c r="I253" s="393"/>
      <c r="J253" s="393"/>
      <c r="K253" s="393"/>
      <c r="L253" s="393"/>
    </row>
    <row r="254" spans="1:12" outlineLevel="1"/>
    <row r="255" spans="1:12" outlineLevel="1">
      <c r="B255" s="374"/>
      <c r="C255" s="391"/>
      <c r="D255" s="391"/>
      <c r="E255" s="416"/>
      <c r="F255" s="391"/>
      <c r="G255" s="380"/>
      <c r="H255" s="417"/>
      <c r="I255" s="391"/>
      <c r="J255" s="391"/>
      <c r="K255" s="416"/>
      <c r="L255" s="416"/>
    </row>
    <row r="256" spans="1:12" ht="15.25" outlineLevel="1">
      <c r="B256" s="374"/>
      <c r="C256" s="383"/>
      <c r="D256" s="383"/>
      <c r="E256" s="383"/>
      <c r="F256" s="427"/>
      <c r="G256" s="427"/>
      <c r="H256" s="418"/>
      <c r="I256" s="427"/>
      <c r="J256" s="427"/>
      <c r="K256" s="421"/>
      <c r="L256" s="421"/>
    </row>
    <row r="257" spans="2:12" outlineLevel="1">
      <c r="B257" s="374"/>
      <c r="C257" s="382"/>
      <c r="D257" s="382"/>
      <c r="E257" s="382"/>
      <c r="F257" s="382"/>
      <c r="G257" s="382"/>
      <c r="H257" s="419"/>
      <c r="I257" s="382"/>
      <c r="J257" s="382"/>
      <c r="K257" s="382"/>
      <c r="L257" s="382"/>
    </row>
    <row r="258" spans="2:12" outlineLevel="1">
      <c r="B258" s="374"/>
      <c r="C258" s="382"/>
      <c r="D258" s="382"/>
      <c r="E258" s="382"/>
      <c r="F258" s="382"/>
      <c r="G258" s="382"/>
      <c r="H258" s="419"/>
      <c r="I258" s="382"/>
      <c r="J258" s="382"/>
      <c r="K258" s="382"/>
      <c r="L258" s="382"/>
    </row>
    <row r="259" spans="2:12" outlineLevel="1">
      <c r="B259" s="374"/>
      <c r="C259" s="382"/>
      <c r="D259" s="382"/>
      <c r="E259" s="382"/>
      <c r="F259" s="382"/>
      <c r="G259" s="382"/>
      <c r="H259" s="419"/>
      <c r="I259" s="382"/>
      <c r="J259" s="382"/>
      <c r="K259" s="382"/>
      <c r="L259" s="382"/>
    </row>
    <row r="260" spans="2:12" ht="15.25" outlineLevel="1">
      <c r="B260" s="374"/>
      <c r="C260" s="390"/>
      <c r="E260" s="294"/>
    </row>
    <row r="261" spans="2:12" outlineLevel="1">
      <c r="B261" s="374"/>
      <c r="C261" s="382"/>
      <c r="E261" s="294"/>
    </row>
    <row r="262" spans="2:12" outlineLevel="1">
      <c r="B262" s="374"/>
      <c r="C262" s="294"/>
      <c r="E262" s="294"/>
    </row>
    <row r="263" spans="2:12" outlineLevel="1">
      <c r="C263" s="393"/>
      <c r="D263" s="393"/>
      <c r="E263" s="393"/>
      <c r="F263" s="393"/>
      <c r="G263" s="393"/>
      <c r="H263" s="394"/>
      <c r="I263" s="393"/>
      <c r="J263" s="393"/>
      <c r="K263" s="393"/>
      <c r="L263" s="393"/>
    </row>
    <row r="264" spans="2:12" outlineLevel="1"/>
    <row r="265" spans="2:12" outlineLevel="1">
      <c r="C265" s="346"/>
      <c r="D265" s="346"/>
      <c r="E265" s="346"/>
    </row>
    <row r="266" spans="2:12" outlineLevel="1">
      <c r="B266" s="374"/>
      <c r="C266" s="382"/>
      <c r="D266" s="426"/>
      <c r="E266" s="382"/>
    </row>
    <row r="267" spans="2:12" outlineLevel="1">
      <c r="B267" s="374"/>
      <c r="C267" s="428"/>
      <c r="D267" s="429"/>
      <c r="E267" s="428"/>
    </row>
    <row r="268" spans="2:12" outlineLevel="1">
      <c r="B268" s="374"/>
      <c r="C268" s="382"/>
      <c r="D268" s="382"/>
      <c r="E268" s="382"/>
      <c r="G268" s="374"/>
    </row>
    <row r="269" spans="2:12" outlineLevel="1">
      <c r="C269" s="294"/>
      <c r="E269" s="294"/>
      <c r="G269" s="374"/>
    </row>
    <row r="270" spans="2:12" outlineLevel="1">
      <c r="B270" s="404"/>
      <c r="C270" s="382"/>
      <c r="E270" s="425"/>
      <c r="G270" s="425"/>
    </row>
    <row r="271" spans="2:12" outlineLevel="1">
      <c r="B271" s="374"/>
      <c r="C271" s="382"/>
      <c r="E271" s="338"/>
    </row>
    <row r="272" spans="2:12" outlineLevel="1">
      <c r="B272" s="374"/>
      <c r="C272" s="428"/>
      <c r="E272" s="343"/>
    </row>
    <row r="273" spans="2:5" outlineLevel="1">
      <c r="B273" s="374"/>
      <c r="C273" s="382"/>
      <c r="E273" s="338"/>
    </row>
    <row r="274" spans="2:5" outlineLevel="1"/>
  </sheetData>
  <mergeCells count="1">
    <mergeCell ref="D2:H3"/>
  </mergeCells>
  <pageMargins left="0.75" right="0.75" top="1" bottom="1" header="0.5" footer="0.5"/>
  <pageSetup scale="75" orientation="landscape" r:id="rId1"/>
  <headerFooter alignWithMargins="0">
    <oddHeader>&amp;C&amp;"Arial,Bold"Public Service Electric and Gas Company Specific Addendum
Attachment 4 P4</oddHeader>
  </headerFooter>
  <rowBreaks count="7" manualBreakCount="7">
    <brk id="33" max="6" man="1"/>
    <brk id="79" max="9" man="1"/>
    <brk id="115" max="9" man="1"/>
    <brk id="151" max="9" man="1"/>
    <brk id="187" max="9" man="1"/>
    <brk id="212" max="11" man="1"/>
    <brk id="25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84C2-9102-46D2-BE61-F5D1493CCAEC}">
  <sheetPr codeName="Sheet7">
    <pageSetUpPr fitToPage="1"/>
  </sheetPr>
  <dimension ref="A1:M274"/>
  <sheetViews>
    <sheetView showGridLines="0" view="pageBreakPreview" zoomScaleNormal="70" zoomScaleSheetLayoutView="100" workbookViewId="0"/>
  </sheetViews>
  <sheetFormatPr defaultColWidth="9.26953125" defaultRowHeight="13" outlineLevelRow="1"/>
  <cols>
    <col min="1" max="1" width="12.40625" style="344" bestFit="1" customWidth="1"/>
    <col min="2" max="2" width="46" style="344" customWidth="1"/>
    <col min="3" max="5" width="16.54296875" style="344" customWidth="1"/>
    <col min="6" max="6" width="4.54296875" style="344" customWidth="1"/>
    <col min="7" max="7" width="41.54296875" style="344" bestFit="1" customWidth="1"/>
    <col min="8" max="8" width="3.54296875" style="366" customWidth="1"/>
    <col min="9" max="9" width="11" style="344" customWidth="1"/>
    <col min="10" max="10" width="23.40625" style="344" customWidth="1"/>
    <col min="11" max="11" width="12.54296875" style="344" customWidth="1"/>
    <col min="12" max="12" width="21" style="344" customWidth="1"/>
    <col min="13" max="13" width="14.40625" style="344" bestFit="1" customWidth="1"/>
    <col min="14" max="14" width="24.26953125" style="344" bestFit="1" customWidth="1"/>
    <col min="15" max="16" width="10.7265625" style="344" bestFit="1" customWidth="1"/>
    <col min="17" max="17" width="14.40625" style="344" bestFit="1" customWidth="1"/>
    <col min="18" max="16384" width="9.26953125" style="344"/>
  </cols>
  <sheetData>
    <row r="1" spans="1:11" ht="20.5">
      <c r="A1" s="371" t="s">
        <v>397</v>
      </c>
      <c r="D1" s="430"/>
      <c r="I1" s="496"/>
    </row>
    <row r="2" spans="1:11" ht="15" customHeight="1">
      <c r="A2" s="372" t="s">
        <v>411</v>
      </c>
      <c r="D2" s="512"/>
      <c r="E2" s="512"/>
      <c r="F2" s="512"/>
      <c r="G2" s="512"/>
      <c r="H2" s="513"/>
    </row>
    <row r="3" spans="1:11" ht="12.75" customHeight="1">
      <c r="A3" s="457" t="s">
        <v>399</v>
      </c>
      <c r="D3" s="512"/>
      <c r="E3" s="512"/>
      <c r="F3" s="512"/>
      <c r="G3" s="512"/>
      <c r="H3" s="513"/>
      <c r="I3" s="431"/>
      <c r="J3" s="431"/>
    </row>
    <row r="5" spans="1:11">
      <c r="A5" s="373" t="s">
        <v>297</v>
      </c>
      <c r="B5" s="347" t="s">
        <v>298</v>
      </c>
    </row>
    <row r="6" spans="1:11" ht="39">
      <c r="A6" s="374" t="s">
        <v>299</v>
      </c>
      <c r="B6" s="347" t="s">
        <v>84</v>
      </c>
      <c r="C6" s="352" t="s">
        <v>400</v>
      </c>
      <c r="D6" s="352" t="s">
        <v>412</v>
      </c>
      <c r="E6" s="352" t="s">
        <v>413</v>
      </c>
      <c r="G6" s="312" t="s">
        <v>300</v>
      </c>
    </row>
    <row r="8" spans="1:11">
      <c r="A8" s="374">
        <v>1</v>
      </c>
      <c r="B8" s="347" t="s">
        <v>96</v>
      </c>
      <c r="C8" s="263">
        <f>'Attach3 - AuctionRateResult'!E8</f>
        <v>112.92</v>
      </c>
      <c r="D8" s="432">
        <f>'Attach 4 P4 '!E8</f>
        <v>112.97</v>
      </c>
      <c r="E8" s="263">
        <f>D10</f>
        <v>112.97</v>
      </c>
      <c r="G8" s="314" t="s">
        <v>418</v>
      </c>
    </row>
    <row r="9" spans="1:11">
      <c r="A9" s="374" t="s">
        <v>301</v>
      </c>
      <c r="B9" s="433" t="s">
        <v>414</v>
      </c>
      <c r="C9" s="316">
        <f>'Attach 4 P3'!C21</f>
        <v>0.05</v>
      </c>
      <c r="D9" s="375"/>
      <c r="E9" s="375"/>
      <c r="G9" s="317" t="s">
        <v>415</v>
      </c>
    </row>
    <row r="10" spans="1:11">
      <c r="A10" s="374" t="s">
        <v>303</v>
      </c>
      <c r="B10" s="347" t="s">
        <v>305</v>
      </c>
      <c r="C10" s="376">
        <f>C8+C9</f>
        <v>112.97</v>
      </c>
      <c r="D10" s="376">
        <f t="shared" ref="D10:E10" si="0">D8+D9</f>
        <v>112.97</v>
      </c>
      <c r="E10" s="376">
        <f t="shared" si="0"/>
        <v>112.97</v>
      </c>
      <c r="G10" s="377" t="s">
        <v>404</v>
      </c>
    </row>
    <row r="11" spans="1:11">
      <c r="A11" s="374"/>
      <c r="B11" s="347"/>
      <c r="C11" s="376"/>
      <c r="D11" s="376"/>
      <c r="E11" s="376"/>
      <c r="G11" s="349"/>
    </row>
    <row r="12" spans="1:11">
      <c r="A12" s="374">
        <v>2</v>
      </c>
      <c r="B12" s="358" t="s">
        <v>97</v>
      </c>
      <c r="C12" s="344">
        <f>'Attach3 - AuctionRateResult'!E14</f>
        <v>28</v>
      </c>
      <c r="D12" s="344">
        <v>29</v>
      </c>
      <c r="E12" s="344">
        <v>28</v>
      </c>
      <c r="G12" s="317" t="s">
        <v>308</v>
      </c>
    </row>
    <row r="13" spans="1:11">
      <c r="A13" s="374">
        <v>3</v>
      </c>
      <c r="B13" s="347" t="s">
        <v>309</v>
      </c>
      <c r="C13" s="344">
        <v>85</v>
      </c>
      <c r="D13" s="344">
        <f>C13</f>
        <v>85</v>
      </c>
      <c r="E13" s="344">
        <f>C13</f>
        <v>85</v>
      </c>
      <c r="G13" s="317" t="s">
        <v>308</v>
      </c>
    </row>
    <row r="14" spans="1:11">
      <c r="A14" s="374"/>
      <c r="B14" s="347"/>
      <c r="G14" s="317"/>
    </row>
    <row r="15" spans="1:11">
      <c r="A15" s="374"/>
      <c r="B15" s="347" t="s">
        <v>100</v>
      </c>
    </row>
    <row r="16" spans="1:11">
      <c r="A16" s="374">
        <v>4</v>
      </c>
      <c r="B16" s="241" t="s">
        <v>101</v>
      </c>
      <c r="C16" s="378">
        <v>1</v>
      </c>
      <c r="D16" s="378">
        <v>1</v>
      </c>
      <c r="E16" s="378">
        <v>1</v>
      </c>
      <c r="G16" s="317" t="s">
        <v>308</v>
      </c>
      <c r="K16" s="379"/>
    </row>
    <row r="17" spans="1:12">
      <c r="A17" s="374">
        <v>5</v>
      </c>
      <c r="B17" s="241" t="s">
        <v>102</v>
      </c>
      <c r="C17" s="378">
        <v>1</v>
      </c>
      <c r="D17" s="378">
        <v>1</v>
      </c>
      <c r="E17" s="378">
        <v>1</v>
      </c>
      <c r="G17" s="317" t="s">
        <v>308</v>
      </c>
      <c r="K17" s="379"/>
    </row>
    <row r="18" spans="1:12">
      <c r="A18" s="374"/>
    </row>
    <row r="19" spans="1:12">
      <c r="A19" s="374"/>
      <c r="B19" s="361" t="s">
        <v>405</v>
      </c>
    </row>
    <row r="20" spans="1:12">
      <c r="A20" s="374">
        <v>6</v>
      </c>
      <c r="B20" s="344" t="s">
        <v>311</v>
      </c>
      <c r="C20" s="362">
        <f>'Attach3 - AuctionRateResult'!C21</f>
        <v>10351093.266882937</v>
      </c>
      <c r="D20" s="362"/>
      <c r="E20" s="362"/>
      <c r="G20" s="317" t="s">
        <v>308</v>
      </c>
    </row>
    <row r="21" spans="1:12">
      <c r="A21" s="374">
        <v>7</v>
      </c>
      <c r="B21" s="344" t="s">
        <v>313</v>
      </c>
      <c r="C21" s="362">
        <f>'Attach3 - AuctionRateResult'!C22</f>
        <v>16261413.159028448</v>
      </c>
      <c r="D21" s="362"/>
      <c r="E21" s="362"/>
    </row>
    <row r="22" spans="1:12">
      <c r="A22" s="374"/>
    </row>
    <row r="23" spans="1:12">
      <c r="A23" s="374"/>
      <c r="B23" s="347" t="s">
        <v>314</v>
      </c>
    </row>
    <row r="24" spans="1:12">
      <c r="A24" s="374">
        <v>8</v>
      </c>
      <c r="B24" s="241" t="s">
        <v>101</v>
      </c>
      <c r="C24" s="380">
        <f>((+C$10)*C$12/C$13*C16*$C20/1000)</f>
        <v>385201.93150674622</v>
      </c>
      <c r="D24" s="380">
        <f t="shared" ref="D24:E25" si="1">((+D$10)*D$12/D$13*D16*$C20/1000)</f>
        <v>398959.14334627287</v>
      </c>
      <c r="E24" s="380">
        <f t="shared" si="1"/>
        <v>385201.93150674622</v>
      </c>
      <c r="F24" s="381"/>
      <c r="G24" s="377" t="s">
        <v>406</v>
      </c>
      <c r="J24" s="382"/>
      <c r="L24" s="382"/>
    </row>
    <row r="25" spans="1:12" ht="15.25">
      <c r="A25" s="374">
        <v>9</v>
      </c>
      <c r="B25" s="241" t="s">
        <v>102</v>
      </c>
      <c r="C25" s="383">
        <f>((+C$10)*C$12/C$13*C17*$C21/1000)</f>
        <v>605146.48997779319</v>
      </c>
      <c r="D25" s="383">
        <f t="shared" si="1"/>
        <v>626758.86461985728</v>
      </c>
      <c r="E25" s="383">
        <f t="shared" si="1"/>
        <v>605146.48997779319</v>
      </c>
      <c r="F25" s="381"/>
      <c r="G25" s="377" t="s">
        <v>407</v>
      </c>
    </row>
    <row r="26" spans="1:12">
      <c r="A26" s="374">
        <v>10</v>
      </c>
      <c r="B26" s="344" t="s">
        <v>317</v>
      </c>
      <c r="C26" s="382">
        <f>+C25+C24</f>
        <v>990348.4214845394</v>
      </c>
      <c r="D26" s="382">
        <f>+D25+D24</f>
        <v>1025718.0079661302</v>
      </c>
      <c r="E26" s="382">
        <f>+E25+E24</f>
        <v>990348.4214845394</v>
      </c>
      <c r="J26" s="382"/>
      <c r="L26" s="382"/>
    </row>
    <row r="27" spans="1:12">
      <c r="A27" s="374"/>
    </row>
    <row r="28" spans="1:12">
      <c r="A28" s="374"/>
      <c r="B28" s="347" t="s">
        <v>319</v>
      </c>
    </row>
    <row r="29" spans="1:12">
      <c r="A29" s="374">
        <v>11</v>
      </c>
      <c r="B29" s="241" t="s">
        <v>101</v>
      </c>
      <c r="C29" s="384">
        <f>ROUND(+SUM(C24:E24)/C20*1000,3)</f>
        <v>112.97</v>
      </c>
      <c r="D29" s="385"/>
      <c r="G29" s="377" t="s">
        <v>408</v>
      </c>
    </row>
    <row r="30" spans="1:12">
      <c r="A30" s="374">
        <v>12</v>
      </c>
      <c r="B30" s="241" t="s">
        <v>102</v>
      </c>
      <c r="C30" s="376">
        <f>ROUND(+SUM(C25:E25)/C21*1000,3)</f>
        <v>112.97</v>
      </c>
      <c r="G30" s="377" t="s">
        <v>409</v>
      </c>
    </row>
    <row r="31" spans="1:12">
      <c r="A31" s="374"/>
      <c r="B31" s="241"/>
      <c r="C31" s="386"/>
      <c r="G31" s="349"/>
    </row>
    <row r="32" spans="1:12">
      <c r="A32" s="374">
        <v>13</v>
      </c>
      <c r="B32" s="344" t="s">
        <v>322</v>
      </c>
      <c r="C32" s="387">
        <f>ROUND(+SUM(C26:E26)/(C20+C21)*1000,3)</f>
        <v>112.97</v>
      </c>
      <c r="D32" s="344" t="s">
        <v>323</v>
      </c>
      <c r="G32" s="377" t="s">
        <v>324</v>
      </c>
    </row>
    <row r="33" spans="1:13">
      <c r="D33" s="344" t="s">
        <v>325</v>
      </c>
      <c r="G33" s="317" t="s">
        <v>410</v>
      </c>
    </row>
    <row r="34" spans="1:13">
      <c r="C34" s="385"/>
    </row>
    <row r="35" spans="1:13">
      <c r="B35" s="388"/>
      <c r="D35" s="385"/>
    </row>
    <row r="36" spans="1:13">
      <c r="A36" s="374"/>
      <c r="B36" s="389"/>
      <c r="C36" s="382"/>
      <c r="D36" s="385"/>
      <c r="G36" s="349"/>
    </row>
    <row r="37" spans="1:13" ht="15.25">
      <c r="A37" s="374"/>
      <c r="B37" s="389"/>
      <c r="C37" s="390"/>
      <c r="D37" s="385"/>
      <c r="G37" s="349"/>
    </row>
    <row r="38" spans="1:13">
      <c r="A38" s="374"/>
      <c r="B38" s="389"/>
      <c r="C38" s="391"/>
      <c r="D38" s="385"/>
      <c r="G38" s="349"/>
    </row>
    <row r="39" spans="1:13">
      <c r="B39" s="389"/>
      <c r="D39" s="385"/>
    </row>
    <row r="41" spans="1:13">
      <c r="A41" s="392"/>
      <c r="B41" s="347"/>
      <c r="G41" s="312"/>
    </row>
    <row r="42" spans="1:13">
      <c r="A42" s="392"/>
      <c r="B42" s="347"/>
      <c r="G42" s="312"/>
    </row>
    <row r="43" spans="1:13">
      <c r="B43" s="347"/>
    </row>
    <row r="44" spans="1:13">
      <c r="B44" s="312"/>
    </row>
    <row r="45" spans="1:13">
      <c r="B45" s="347"/>
    </row>
    <row r="46" spans="1:13">
      <c r="C46" s="393"/>
      <c r="D46" s="393"/>
      <c r="E46" s="393"/>
      <c r="F46" s="393"/>
      <c r="G46" s="393"/>
      <c r="H46" s="394"/>
      <c r="I46" s="393"/>
      <c r="J46" s="393"/>
    </row>
    <row r="47" spans="1:13">
      <c r="C47" s="393"/>
      <c r="D47" s="393"/>
      <c r="E47" s="393"/>
      <c r="F47" s="393"/>
      <c r="G47" s="393"/>
    </row>
    <row r="48" spans="1:13">
      <c r="B48" s="395"/>
      <c r="E48" s="292"/>
      <c r="F48" s="293"/>
      <c r="G48" s="293"/>
      <c r="H48" s="396"/>
      <c r="I48" s="292"/>
      <c r="J48" s="292"/>
      <c r="K48" s="294"/>
      <c r="L48" s="294"/>
      <c r="M48" s="294"/>
    </row>
    <row r="49" spans="2:13">
      <c r="B49" s="397"/>
      <c r="C49" s="295"/>
      <c r="D49" s="207"/>
      <c r="E49" s="293"/>
      <c r="F49" s="292"/>
      <c r="G49" s="292"/>
      <c r="H49" s="398"/>
      <c r="J49" s="296"/>
      <c r="K49" s="294"/>
      <c r="L49" s="294"/>
      <c r="M49" s="294"/>
    </row>
    <row r="50" spans="2:13">
      <c r="B50" s="397"/>
      <c r="C50" s="295"/>
      <c r="D50" s="207"/>
      <c r="E50" s="293"/>
      <c r="F50" s="292"/>
      <c r="G50" s="292"/>
      <c r="H50" s="399"/>
      <c r="J50" s="296"/>
      <c r="K50" s="400"/>
      <c r="L50" s="294"/>
      <c r="M50" s="294"/>
    </row>
    <row r="51" spans="2:13">
      <c r="E51" s="295"/>
      <c r="F51" s="207"/>
      <c r="G51" s="207"/>
      <c r="L51" s="294"/>
      <c r="M51" s="294"/>
    </row>
    <row r="52" spans="2:13">
      <c r="B52" s="401"/>
      <c r="C52" s="293"/>
      <c r="D52" s="293"/>
      <c r="E52" s="295"/>
      <c r="F52" s="207"/>
      <c r="G52" s="207"/>
      <c r="H52" s="402"/>
      <c r="I52" s="207"/>
      <c r="J52" s="207"/>
      <c r="K52" s="294"/>
      <c r="L52" s="294"/>
      <c r="M52" s="294"/>
    </row>
    <row r="53" spans="2:13">
      <c r="B53" s="401"/>
      <c r="C53" s="403"/>
      <c r="D53" s="403"/>
      <c r="E53" s="404"/>
      <c r="F53" s="207"/>
      <c r="G53" s="207"/>
      <c r="H53" s="402"/>
      <c r="I53" s="207"/>
      <c r="J53" s="207"/>
      <c r="K53" s="294"/>
      <c r="L53" s="294"/>
      <c r="M53" s="294"/>
    </row>
    <row r="54" spans="2:13">
      <c r="B54" s="401"/>
      <c r="C54" s="403"/>
      <c r="D54" s="403"/>
      <c r="E54" s="404"/>
      <c r="F54" s="207"/>
      <c r="G54" s="207"/>
      <c r="H54" s="402"/>
      <c r="I54" s="207"/>
      <c r="J54" s="207"/>
      <c r="K54" s="294"/>
      <c r="L54" s="294"/>
      <c r="M54" s="294"/>
    </row>
    <row r="55" spans="2:13">
      <c r="G55" s="207"/>
      <c r="H55" s="402"/>
      <c r="I55" s="207"/>
      <c r="J55" s="207"/>
      <c r="K55" s="294"/>
      <c r="L55" s="294"/>
      <c r="M55" s="294"/>
    </row>
    <row r="56" spans="2:13">
      <c r="H56" s="402"/>
      <c r="I56" s="207"/>
      <c r="J56" s="207"/>
      <c r="K56" s="294"/>
      <c r="L56" s="294"/>
      <c r="M56" s="294"/>
    </row>
    <row r="57" spans="2:13">
      <c r="C57" s="207"/>
      <c r="D57" s="207"/>
      <c r="E57" s="207"/>
      <c r="F57" s="207"/>
      <c r="G57" s="207"/>
      <c r="H57" s="402"/>
      <c r="I57" s="207"/>
      <c r="J57" s="207"/>
      <c r="K57" s="294"/>
      <c r="L57" s="294"/>
      <c r="M57" s="294"/>
    </row>
    <row r="58" spans="2:13">
      <c r="B58" s="395"/>
      <c r="C58" s="293"/>
      <c r="D58" s="293"/>
      <c r="E58" s="292"/>
      <c r="F58" s="293"/>
      <c r="G58" s="293"/>
      <c r="H58" s="396"/>
      <c r="I58" s="292"/>
      <c r="J58" s="292"/>
      <c r="K58" s="294"/>
      <c r="L58" s="294"/>
      <c r="M58" s="294"/>
    </row>
    <row r="59" spans="2:13">
      <c r="B59" s="397"/>
      <c r="C59" s="207"/>
      <c r="D59" s="207"/>
      <c r="E59" s="293"/>
      <c r="F59" s="207"/>
      <c r="G59" s="207"/>
      <c r="H59" s="402"/>
      <c r="J59" s="296"/>
      <c r="K59" s="294"/>
      <c r="L59" s="294"/>
      <c r="M59" s="294"/>
    </row>
    <row r="60" spans="2:13">
      <c r="B60" s="397"/>
      <c r="C60" s="207"/>
      <c r="D60" s="207"/>
      <c r="E60" s="293"/>
      <c r="F60" s="207"/>
      <c r="G60" s="207"/>
      <c r="J60" s="296"/>
      <c r="K60" s="400"/>
      <c r="L60" s="294"/>
      <c r="M60" s="294"/>
    </row>
    <row r="61" spans="2:13">
      <c r="C61" s="294"/>
      <c r="D61" s="294"/>
      <c r="E61" s="294"/>
      <c r="F61" s="294"/>
      <c r="G61" s="294"/>
      <c r="K61" s="294"/>
      <c r="L61" s="294"/>
      <c r="M61" s="294"/>
    </row>
    <row r="62" spans="2:13">
      <c r="C62" s="301"/>
      <c r="D62" s="301"/>
      <c r="E62" s="301"/>
      <c r="F62" s="301"/>
      <c r="G62" s="301"/>
      <c r="H62" s="398"/>
      <c r="I62" s="301"/>
      <c r="J62" s="301"/>
      <c r="K62" s="294"/>
      <c r="L62" s="294"/>
      <c r="M62" s="294"/>
    </row>
    <row r="65" spans="2:11">
      <c r="B65" s="347"/>
    </row>
    <row r="66" spans="2:11">
      <c r="B66" s="312"/>
    </row>
    <row r="68" spans="2:11">
      <c r="C68" s="393"/>
      <c r="D68" s="393"/>
      <c r="E68" s="393"/>
      <c r="F68" s="393"/>
      <c r="H68" s="405"/>
      <c r="I68" s="393"/>
      <c r="J68" s="393"/>
    </row>
    <row r="69" spans="2:11">
      <c r="C69" s="393"/>
      <c r="D69" s="406"/>
      <c r="E69" s="393"/>
      <c r="F69" s="406"/>
    </row>
    <row r="70" spans="2:11">
      <c r="B70" s="395"/>
      <c r="C70" s="293"/>
      <c r="D70" s="400"/>
      <c r="E70" s="407"/>
      <c r="F70" s="407"/>
      <c r="H70" s="408"/>
    </row>
    <row r="71" spans="2:11">
      <c r="B71" s="397"/>
      <c r="C71" s="292"/>
      <c r="D71" s="400"/>
      <c r="E71" s="293"/>
      <c r="F71" s="400"/>
      <c r="H71" s="409"/>
      <c r="I71" s="410"/>
      <c r="J71" s="410"/>
      <c r="K71" s="349"/>
    </row>
    <row r="72" spans="2:11">
      <c r="B72" s="397"/>
      <c r="C72" s="292"/>
      <c r="D72" s="400"/>
      <c r="E72" s="293"/>
      <c r="F72" s="400"/>
      <c r="H72" s="409"/>
      <c r="I72" s="410"/>
      <c r="J72" s="410"/>
      <c r="K72" s="349"/>
    </row>
    <row r="73" spans="2:11">
      <c r="C73" s="292"/>
      <c r="D73" s="400"/>
      <c r="E73" s="292"/>
      <c r="F73" s="400"/>
      <c r="H73" s="409"/>
      <c r="I73" s="410"/>
      <c r="J73" s="410"/>
      <c r="K73" s="349"/>
    </row>
    <row r="74" spans="2:11">
      <c r="B74" s="395"/>
      <c r="C74" s="293"/>
      <c r="D74" s="400"/>
      <c r="E74" s="293"/>
      <c r="F74" s="400"/>
      <c r="H74" s="408"/>
      <c r="I74" s="385"/>
      <c r="J74" s="385"/>
    </row>
    <row r="75" spans="2:11">
      <c r="B75" s="397"/>
      <c r="C75" s="292"/>
      <c r="D75" s="407"/>
      <c r="E75" s="293"/>
      <c r="F75" s="400"/>
      <c r="H75" s="409"/>
      <c r="I75" s="410"/>
      <c r="J75" s="410"/>
      <c r="K75" s="349"/>
    </row>
    <row r="76" spans="2:11">
      <c r="B76" s="397"/>
      <c r="C76" s="292"/>
      <c r="D76" s="407"/>
      <c r="E76" s="293"/>
      <c r="F76" s="400"/>
    </row>
    <row r="77" spans="2:11">
      <c r="C77" s="301"/>
      <c r="D77" s="407"/>
      <c r="E77" s="301"/>
      <c r="F77" s="407"/>
    </row>
    <row r="78" spans="2:11">
      <c r="C78" s="301"/>
      <c r="D78" s="407"/>
      <c r="E78" s="301"/>
      <c r="F78" s="407"/>
    </row>
    <row r="79" spans="2:11">
      <c r="C79" s="301"/>
      <c r="D79" s="407"/>
      <c r="E79" s="301"/>
      <c r="F79" s="407"/>
    </row>
    <row r="80" spans="2:11">
      <c r="C80" s="294"/>
      <c r="E80" s="294"/>
    </row>
    <row r="81" spans="1:13">
      <c r="A81" s="411"/>
      <c r="B81" s="388"/>
      <c r="C81" s="294"/>
      <c r="E81" s="294"/>
    </row>
    <row r="82" spans="1:13">
      <c r="A82" s="411"/>
      <c r="B82" s="312"/>
    </row>
    <row r="84" spans="1:13">
      <c r="B84" s="347"/>
    </row>
    <row r="85" spans="1:13">
      <c r="B85" s="312"/>
    </row>
    <row r="86" spans="1:13">
      <c r="B86" s="347"/>
    </row>
    <row r="87" spans="1:13">
      <c r="C87" s="393"/>
      <c r="D87" s="393"/>
      <c r="E87" s="393"/>
      <c r="F87" s="393"/>
      <c r="G87" s="393"/>
      <c r="H87" s="394"/>
      <c r="I87" s="393"/>
      <c r="J87" s="393"/>
    </row>
    <row r="88" spans="1:13">
      <c r="C88" s="411"/>
      <c r="D88" s="411"/>
      <c r="E88" s="411"/>
      <c r="F88" s="412"/>
      <c r="G88" s="412"/>
      <c r="H88" s="413"/>
      <c r="I88" s="412"/>
      <c r="J88" s="412"/>
    </row>
    <row r="89" spans="1:13">
      <c r="B89" s="395"/>
      <c r="C89" s="411"/>
      <c r="D89" s="411"/>
      <c r="E89" s="411"/>
      <c r="F89" s="412"/>
      <c r="G89" s="412"/>
      <c r="H89" s="413"/>
      <c r="I89" s="412"/>
      <c r="J89" s="412"/>
      <c r="L89" s="294"/>
      <c r="M89" s="294"/>
    </row>
    <row r="90" spans="1:13">
      <c r="B90" s="397"/>
      <c r="C90" s="411"/>
      <c r="D90" s="411"/>
      <c r="E90" s="412"/>
      <c r="F90" s="411"/>
      <c r="G90" s="412"/>
      <c r="H90" s="413"/>
      <c r="I90" s="412"/>
      <c r="J90" s="411"/>
      <c r="L90" s="294"/>
      <c r="M90" s="294"/>
    </row>
    <row r="91" spans="1:13">
      <c r="B91" s="397"/>
      <c r="C91" s="411"/>
      <c r="D91" s="411"/>
      <c r="E91" s="412"/>
      <c r="F91" s="411"/>
      <c r="G91" s="411"/>
      <c r="H91" s="414"/>
      <c r="I91" s="411"/>
      <c r="J91" s="411"/>
      <c r="L91" s="294"/>
      <c r="M91" s="294"/>
    </row>
    <row r="92" spans="1:13">
      <c r="B92" s="401"/>
      <c r="C92" s="411"/>
      <c r="D92" s="411"/>
      <c r="E92" s="411"/>
      <c r="F92" s="411"/>
      <c r="G92" s="411"/>
      <c r="H92" s="414"/>
      <c r="I92" s="411"/>
      <c r="J92" s="411"/>
      <c r="L92" s="294"/>
      <c r="M92" s="294"/>
    </row>
    <row r="93" spans="1:13">
      <c r="B93" s="404"/>
      <c r="C93" s="412"/>
      <c r="D93" s="412"/>
      <c r="E93" s="411"/>
      <c r="F93" s="411"/>
      <c r="G93" s="411"/>
      <c r="H93" s="414"/>
      <c r="I93" s="411"/>
      <c r="J93" s="411"/>
      <c r="L93" s="294"/>
      <c r="M93" s="294"/>
    </row>
    <row r="94" spans="1:13">
      <c r="B94" s="404"/>
      <c r="C94" s="412"/>
      <c r="D94" s="412"/>
      <c r="E94" s="411"/>
      <c r="F94" s="411"/>
      <c r="G94" s="411"/>
      <c r="H94" s="414"/>
      <c r="I94" s="411"/>
      <c r="J94" s="411"/>
      <c r="L94" s="294"/>
      <c r="M94" s="294"/>
    </row>
    <row r="95" spans="1:13">
      <c r="C95" s="412"/>
      <c r="D95" s="412"/>
      <c r="E95" s="411"/>
      <c r="F95" s="411"/>
      <c r="G95" s="411"/>
      <c r="H95" s="414"/>
      <c r="I95" s="411"/>
      <c r="J95" s="411"/>
      <c r="L95" s="294"/>
      <c r="M95" s="294"/>
    </row>
    <row r="96" spans="1:13">
      <c r="B96" s="395"/>
      <c r="C96" s="412"/>
      <c r="D96" s="412"/>
      <c r="E96" s="411"/>
      <c r="F96" s="412"/>
      <c r="G96" s="412"/>
      <c r="H96" s="413"/>
      <c r="I96" s="412"/>
      <c r="J96" s="412"/>
      <c r="L96" s="294"/>
      <c r="M96" s="294"/>
    </row>
    <row r="97" spans="2:13">
      <c r="B97" s="397"/>
      <c r="C97" s="411"/>
      <c r="D97" s="411"/>
      <c r="E97" s="412"/>
      <c r="F97" s="411"/>
      <c r="G97" s="411"/>
      <c r="H97" s="414"/>
      <c r="I97" s="411"/>
      <c r="J97" s="411"/>
      <c r="L97" s="294"/>
      <c r="M97" s="294"/>
    </row>
    <row r="98" spans="2:13">
      <c r="B98" s="397"/>
      <c r="C98" s="411"/>
      <c r="D98" s="411"/>
      <c r="E98" s="412"/>
      <c r="F98" s="411"/>
      <c r="G98" s="411"/>
      <c r="H98" s="414"/>
      <c r="I98" s="411"/>
      <c r="J98" s="411"/>
      <c r="L98" s="294"/>
      <c r="M98" s="294"/>
    </row>
    <row r="99" spans="2:13">
      <c r="C99" s="411"/>
      <c r="D99" s="411"/>
      <c r="E99" s="412"/>
      <c r="F99" s="411"/>
      <c r="G99" s="411"/>
      <c r="H99" s="414"/>
      <c r="I99" s="411"/>
      <c r="J99" s="411"/>
      <c r="L99" s="294"/>
      <c r="M99" s="294"/>
    </row>
    <row r="102" spans="2:13">
      <c r="B102" s="347"/>
    </row>
    <row r="103" spans="2:13">
      <c r="B103" s="312"/>
    </row>
    <row r="105" spans="2:13">
      <c r="C105" s="393"/>
      <c r="D105" s="393"/>
      <c r="E105" s="393"/>
      <c r="F105" s="393"/>
      <c r="H105" s="405"/>
      <c r="I105" s="393"/>
      <c r="J105" s="393"/>
    </row>
    <row r="106" spans="2:13">
      <c r="F106" s="406"/>
    </row>
    <row r="107" spans="2:13">
      <c r="B107" s="395"/>
      <c r="C107" s="412"/>
      <c r="D107" s="412"/>
      <c r="E107" s="412"/>
      <c r="F107" s="407"/>
      <c r="H107" s="408"/>
    </row>
    <row r="108" spans="2:13">
      <c r="B108" s="397"/>
      <c r="C108" s="412"/>
      <c r="D108" s="412"/>
      <c r="E108" s="412"/>
      <c r="F108" s="400"/>
      <c r="H108" s="409"/>
      <c r="I108" s="415"/>
      <c r="J108" s="415"/>
      <c r="K108" s="349"/>
    </row>
    <row r="109" spans="2:13">
      <c r="B109" s="397"/>
      <c r="C109" s="412"/>
      <c r="D109" s="412"/>
      <c r="E109" s="412"/>
      <c r="F109" s="400"/>
      <c r="H109" s="409"/>
      <c r="I109" s="415"/>
      <c r="J109" s="415"/>
      <c r="K109" s="349"/>
    </row>
    <row r="110" spans="2:13">
      <c r="C110" s="412"/>
      <c r="D110" s="412"/>
      <c r="E110" s="412"/>
      <c r="F110" s="400"/>
      <c r="H110" s="409"/>
      <c r="I110" s="410"/>
      <c r="J110" s="410"/>
      <c r="K110" s="349"/>
    </row>
    <row r="111" spans="2:13">
      <c r="B111" s="395"/>
      <c r="C111" s="412"/>
      <c r="D111" s="412"/>
      <c r="E111" s="412"/>
      <c r="F111" s="400"/>
      <c r="H111" s="408"/>
      <c r="I111" s="385"/>
      <c r="J111" s="385"/>
    </row>
    <row r="112" spans="2:13">
      <c r="B112" s="397"/>
      <c r="C112" s="412"/>
      <c r="D112" s="412"/>
      <c r="E112" s="412"/>
      <c r="F112" s="400"/>
      <c r="H112" s="409"/>
      <c r="I112" s="415"/>
      <c r="J112" s="415"/>
      <c r="K112" s="349"/>
    </row>
    <row r="113" spans="1:12">
      <c r="B113" s="397"/>
      <c r="C113" s="412"/>
      <c r="D113" s="412"/>
      <c r="E113" s="412"/>
      <c r="F113" s="400"/>
    </row>
    <row r="114" spans="1:12">
      <c r="C114" s="301"/>
      <c r="D114" s="407"/>
      <c r="E114" s="301"/>
      <c r="F114" s="407"/>
    </row>
    <row r="115" spans="1:12">
      <c r="C115" s="301"/>
      <c r="D115" s="407"/>
      <c r="E115" s="301"/>
      <c r="F115" s="407"/>
    </row>
    <row r="117" spans="1:12">
      <c r="A117" s="411"/>
      <c r="B117" s="347"/>
      <c r="C117" s="294"/>
      <c r="E117" s="294"/>
    </row>
    <row r="118" spans="1:12">
      <c r="C118" s="294"/>
      <c r="E118" s="294"/>
    </row>
    <row r="119" spans="1:12">
      <c r="C119" s="393"/>
      <c r="D119" s="393"/>
      <c r="E119" s="393"/>
      <c r="F119" s="393"/>
      <c r="G119" s="393"/>
      <c r="H119" s="394"/>
      <c r="I119" s="393"/>
      <c r="J119" s="393"/>
    </row>
    <row r="121" spans="1:12">
      <c r="B121" s="374"/>
      <c r="C121" s="391"/>
      <c r="D121" s="391"/>
      <c r="E121" s="416"/>
      <c r="F121" s="391"/>
      <c r="G121" s="380"/>
      <c r="H121" s="417"/>
      <c r="I121" s="391"/>
      <c r="J121" s="391"/>
    </row>
    <row r="122" spans="1:12" ht="15.25">
      <c r="B122" s="374"/>
      <c r="C122" s="383"/>
      <c r="D122" s="383"/>
      <c r="E122" s="383"/>
      <c r="F122" s="383"/>
      <c r="G122" s="383"/>
      <c r="H122" s="418"/>
      <c r="I122" s="383"/>
      <c r="J122" s="383"/>
    </row>
    <row r="123" spans="1:12">
      <c r="B123" s="374"/>
      <c r="C123" s="382"/>
      <c r="D123" s="382"/>
      <c r="E123" s="382"/>
      <c r="F123" s="382"/>
      <c r="G123" s="382"/>
      <c r="H123" s="419"/>
      <c r="I123" s="382"/>
      <c r="J123" s="382"/>
    </row>
    <row r="124" spans="1:12">
      <c r="B124" s="374"/>
      <c r="C124" s="382"/>
      <c r="D124" s="382"/>
      <c r="E124" s="382"/>
      <c r="F124" s="382"/>
      <c r="G124" s="382"/>
      <c r="H124" s="419"/>
      <c r="I124" s="382"/>
      <c r="J124" s="382"/>
      <c r="K124" s="382"/>
      <c r="L124" s="382"/>
    </row>
    <row r="125" spans="1:12">
      <c r="B125" s="374"/>
      <c r="C125" s="382"/>
      <c r="D125" s="382"/>
      <c r="E125" s="382"/>
      <c r="F125" s="382"/>
      <c r="G125" s="382"/>
      <c r="H125" s="419"/>
      <c r="I125" s="382"/>
      <c r="J125" s="382"/>
      <c r="K125" s="382"/>
      <c r="L125" s="382"/>
    </row>
    <row r="126" spans="1:12">
      <c r="B126" s="374"/>
      <c r="C126" s="393"/>
      <c r="D126" s="393"/>
      <c r="F126" s="393"/>
      <c r="G126" s="393"/>
      <c r="H126" s="419"/>
      <c r="I126" s="382"/>
      <c r="J126" s="382"/>
      <c r="K126" s="382"/>
      <c r="L126" s="382"/>
    </row>
    <row r="127" spans="1:12">
      <c r="B127" s="374"/>
      <c r="C127" s="393"/>
      <c r="D127" s="393"/>
      <c r="F127" s="393"/>
      <c r="G127" s="393"/>
      <c r="H127" s="419"/>
      <c r="I127" s="382"/>
      <c r="J127" s="382"/>
      <c r="K127" s="382"/>
      <c r="L127" s="382"/>
    </row>
    <row r="128" spans="1:12">
      <c r="B128" s="374"/>
      <c r="G128" s="382"/>
      <c r="H128" s="419"/>
      <c r="I128" s="382"/>
      <c r="J128" s="382"/>
      <c r="K128" s="382"/>
      <c r="L128" s="382"/>
    </row>
    <row r="129" spans="2:12">
      <c r="B129" s="374"/>
      <c r="C129" s="416"/>
      <c r="D129" s="416"/>
      <c r="F129" s="416"/>
      <c r="G129" s="420"/>
      <c r="H129" s="419"/>
      <c r="I129" s="382"/>
      <c r="J129" s="382"/>
      <c r="K129" s="382"/>
      <c r="L129" s="382"/>
    </row>
    <row r="130" spans="2:12" ht="15.25">
      <c r="B130" s="374"/>
      <c r="C130" s="421"/>
      <c r="D130" s="421"/>
      <c r="F130" s="421"/>
      <c r="G130" s="421"/>
      <c r="H130" s="419"/>
      <c r="I130" s="382"/>
      <c r="J130" s="382"/>
      <c r="K130" s="382"/>
      <c r="L130" s="382"/>
    </row>
    <row r="131" spans="2:12">
      <c r="B131" s="374"/>
      <c r="C131" s="382"/>
      <c r="D131" s="382"/>
      <c r="F131" s="382"/>
      <c r="G131" s="382"/>
      <c r="H131" s="419"/>
      <c r="I131" s="382"/>
      <c r="J131" s="382"/>
      <c r="K131" s="382"/>
      <c r="L131" s="382"/>
    </row>
    <row r="132" spans="2:12">
      <c r="B132" s="374"/>
      <c r="C132" s="382"/>
      <c r="F132" s="382"/>
      <c r="G132" s="382"/>
      <c r="H132" s="419"/>
      <c r="I132" s="382"/>
      <c r="J132" s="382"/>
      <c r="K132" s="382"/>
      <c r="L132" s="382"/>
    </row>
    <row r="133" spans="2:12">
      <c r="B133" s="374"/>
      <c r="C133" s="382"/>
      <c r="D133" s="382"/>
      <c r="E133" s="382"/>
      <c r="F133" s="382"/>
      <c r="G133" s="382"/>
      <c r="H133" s="419"/>
      <c r="I133" s="382"/>
      <c r="J133" s="382"/>
      <c r="K133" s="382"/>
      <c r="L133" s="382"/>
    </row>
    <row r="134" spans="2:12">
      <c r="B134" s="374"/>
      <c r="C134" s="393"/>
      <c r="D134" s="393"/>
      <c r="E134" s="393"/>
      <c r="F134" s="382"/>
      <c r="G134" s="382"/>
      <c r="H134" s="419"/>
      <c r="I134" s="382"/>
      <c r="J134" s="382"/>
      <c r="K134" s="382"/>
      <c r="L134" s="382"/>
    </row>
    <row r="135" spans="2:12">
      <c r="B135" s="374"/>
      <c r="C135" s="382"/>
      <c r="D135" s="382"/>
      <c r="E135" s="422"/>
      <c r="F135" s="382"/>
      <c r="G135" s="382"/>
      <c r="H135" s="419"/>
      <c r="I135" s="382"/>
      <c r="J135" s="382"/>
      <c r="K135" s="382"/>
      <c r="L135" s="382"/>
    </row>
    <row r="136" spans="2:12" ht="15.25">
      <c r="B136" s="374"/>
      <c r="C136" s="390"/>
      <c r="D136" s="390"/>
      <c r="E136" s="390"/>
    </row>
    <row r="137" spans="2:12">
      <c r="B137" s="374"/>
      <c r="C137" s="382"/>
      <c r="D137" s="382"/>
      <c r="E137" s="423"/>
    </row>
    <row r="138" spans="2:12">
      <c r="B138" s="374"/>
      <c r="C138" s="294"/>
      <c r="E138" s="294"/>
    </row>
    <row r="139" spans="2:12">
      <c r="C139" s="393"/>
      <c r="D139" s="393"/>
      <c r="E139" s="393"/>
      <c r="F139" s="393"/>
      <c r="G139" s="393"/>
      <c r="H139" s="394"/>
      <c r="I139" s="393"/>
      <c r="J139" s="393"/>
      <c r="K139" s="393"/>
      <c r="L139" s="393"/>
    </row>
    <row r="141" spans="2:12">
      <c r="B141" s="374"/>
      <c r="C141" s="382"/>
    </row>
    <row r="142" spans="2:12" ht="15.25">
      <c r="B142" s="374"/>
      <c r="C142" s="390"/>
    </row>
    <row r="143" spans="2:12">
      <c r="B143" s="374"/>
      <c r="C143" s="382"/>
    </row>
    <row r="144" spans="2:12">
      <c r="C144" s="294"/>
    </row>
    <row r="145" spans="1:10">
      <c r="B145" s="404"/>
      <c r="C145" s="374"/>
    </row>
    <row r="146" spans="1:10">
      <c r="B146" s="374"/>
      <c r="C146" s="382"/>
    </row>
    <row r="147" spans="1:10" ht="15.25">
      <c r="B147" s="374"/>
      <c r="C147" s="390"/>
    </row>
    <row r="148" spans="1:10">
      <c r="B148" s="374"/>
      <c r="C148" s="382"/>
    </row>
    <row r="153" spans="1:10">
      <c r="A153" s="411"/>
      <c r="B153" s="388"/>
      <c r="C153" s="294"/>
      <c r="E153" s="294"/>
    </row>
    <row r="154" spans="1:10">
      <c r="B154" s="312"/>
    </row>
    <row r="156" spans="1:10">
      <c r="B156" s="347"/>
    </row>
    <row r="157" spans="1:10">
      <c r="B157" s="312"/>
    </row>
    <row r="158" spans="1:10">
      <c r="B158" s="347"/>
    </row>
    <row r="159" spans="1:10">
      <c r="C159" s="393"/>
      <c r="D159" s="393"/>
      <c r="E159" s="393"/>
      <c r="F159" s="393"/>
      <c r="G159" s="393"/>
      <c r="H159" s="394"/>
      <c r="I159" s="393"/>
      <c r="J159" s="393"/>
    </row>
    <row r="160" spans="1:10">
      <c r="C160" s="411"/>
      <c r="D160" s="411"/>
      <c r="E160" s="411"/>
      <c r="F160" s="412"/>
      <c r="G160" s="412"/>
      <c r="H160" s="413"/>
      <c r="I160" s="412"/>
      <c r="J160" s="412"/>
    </row>
    <row r="161" spans="2:10">
      <c r="B161" s="395"/>
      <c r="C161" s="411"/>
      <c r="D161" s="411"/>
      <c r="E161" s="411"/>
      <c r="F161" s="412"/>
      <c r="G161" s="412"/>
      <c r="H161" s="413"/>
      <c r="I161" s="412"/>
      <c r="J161" s="412"/>
    </row>
    <row r="162" spans="2:10">
      <c r="B162" s="397"/>
      <c r="C162" s="411"/>
      <c r="D162" s="411"/>
      <c r="E162" s="412"/>
      <c r="G162" s="412"/>
      <c r="H162" s="413"/>
      <c r="I162" s="412"/>
      <c r="J162" s="411"/>
    </row>
    <row r="163" spans="2:10">
      <c r="B163" s="397"/>
      <c r="C163" s="411"/>
      <c r="D163" s="411"/>
      <c r="E163" s="412"/>
      <c r="F163" s="411"/>
      <c r="G163" s="411"/>
      <c r="H163" s="414"/>
      <c r="I163" s="411"/>
      <c r="J163" s="411"/>
    </row>
    <row r="164" spans="2:10">
      <c r="B164" s="401"/>
      <c r="C164" s="411"/>
      <c r="D164" s="411"/>
      <c r="E164" s="411"/>
      <c r="F164" s="411"/>
      <c r="G164" s="411"/>
      <c r="H164" s="414"/>
      <c r="I164" s="411"/>
      <c r="J164" s="411"/>
    </row>
    <row r="165" spans="2:10">
      <c r="B165" s="404"/>
      <c r="C165" s="412"/>
      <c r="D165" s="412"/>
      <c r="E165" s="411"/>
      <c r="F165" s="411"/>
      <c r="G165" s="411"/>
      <c r="H165" s="414"/>
      <c r="I165" s="411"/>
      <c r="J165" s="411"/>
    </row>
    <row r="166" spans="2:10">
      <c r="B166" s="404"/>
      <c r="C166" s="412"/>
      <c r="D166" s="412"/>
      <c r="E166" s="411"/>
      <c r="F166" s="411"/>
      <c r="G166" s="411"/>
      <c r="H166" s="414"/>
      <c r="I166" s="411"/>
      <c r="J166" s="411"/>
    </row>
    <row r="167" spans="2:10">
      <c r="C167" s="412"/>
      <c r="D167" s="412"/>
      <c r="E167" s="411"/>
      <c r="F167" s="411"/>
      <c r="G167" s="411"/>
      <c r="H167" s="414"/>
      <c r="I167" s="411"/>
      <c r="J167" s="411"/>
    </row>
    <row r="168" spans="2:10">
      <c r="B168" s="395"/>
      <c r="C168" s="412"/>
      <c r="D168" s="412"/>
      <c r="E168" s="411"/>
      <c r="F168" s="412"/>
      <c r="G168" s="412"/>
      <c r="H168" s="413"/>
      <c r="I168" s="412"/>
      <c r="J168" s="412"/>
    </row>
    <row r="169" spans="2:10">
      <c r="B169" s="397"/>
      <c r="C169" s="411"/>
      <c r="D169" s="411"/>
      <c r="E169" s="412"/>
      <c r="F169" s="411"/>
      <c r="G169" s="411"/>
      <c r="H169" s="414"/>
      <c r="I169" s="411"/>
      <c r="J169" s="411"/>
    </row>
    <row r="170" spans="2:10">
      <c r="B170" s="397"/>
      <c r="C170" s="411"/>
      <c r="D170" s="411"/>
      <c r="E170" s="412"/>
      <c r="F170" s="411"/>
      <c r="G170" s="411"/>
      <c r="H170" s="414"/>
      <c r="I170" s="411"/>
      <c r="J170" s="411"/>
    </row>
    <row r="171" spans="2:10">
      <c r="C171" s="411"/>
      <c r="D171" s="411"/>
      <c r="E171" s="412"/>
      <c r="F171" s="411"/>
      <c r="G171" s="411"/>
      <c r="H171" s="414"/>
      <c r="I171" s="411"/>
      <c r="J171" s="411"/>
    </row>
    <row r="174" spans="2:10">
      <c r="B174" s="347"/>
    </row>
    <row r="175" spans="2:10">
      <c r="B175" s="312"/>
    </row>
    <row r="177" spans="1:12">
      <c r="C177" s="393"/>
      <c r="D177" s="393"/>
      <c r="E177" s="393"/>
      <c r="F177" s="393"/>
      <c r="H177" s="405"/>
      <c r="I177" s="393"/>
      <c r="J177" s="393"/>
    </row>
    <row r="178" spans="1:12">
      <c r="F178" s="406"/>
    </row>
    <row r="179" spans="1:12">
      <c r="B179" s="395"/>
      <c r="C179" s="412"/>
      <c r="D179" s="412"/>
      <c r="E179" s="412"/>
      <c r="F179" s="407"/>
      <c r="H179" s="408"/>
    </row>
    <row r="180" spans="1:12">
      <c r="B180" s="397"/>
      <c r="C180" s="412"/>
      <c r="D180" s="412"/>
      <c r="E180" s="412"/>
      <c r="F180" s="400"/>
      <c r="H180" s="409"/>
      <c r="I180" s="424"/>
      <c r="J180" s="424"/>
    </row>
    <row r="181" spans="1:12">
      <c r="B181" s="397"/>
      <c r="C181" s="412"/>
      <c r="D181" s="412"/>
      <c r="E181" s="412"/>
      <c r="F181" s="400"/>
      <c r="H181" s="409"/>
      <c r="I181" s="424"/>
      <c r="J181" s="424"/>
    </row>
    <row r="182" spans="1:12">
      <c r="C182" s="412"/>
      <c r="D182" s="412"/>
      <c r="E182" s="412"/>
      <c r="F182" s="400"/>
      <c r="H182" s="409"/>
      <c r="I182" s="410"/>
      <c r="J182" s="410"/>
    </row>
    <row r="183" spans="1:12">
      <c r="B183" s="395"/>
      <c r="C183" s="412"/>
      <c r="D183" s="412"/>
      <c r="E183" s="412"/>
      <c r="F183" s="400"/>
      <c r="H183" s="408"/>
      <c r="I183" s="385"/>
      <c r="J183" s="385"/>
    </row>
    <row r="184" spans="1:12">
      <c r="B184" s="397"/>
      <c r="C184" s="412"/>
      <c r="D184" s="412"/>
      <c r="E184" s="412"/>
      <c r="F184" s="400"/>
      <c r="H184" s="409"/>
      <c r="I184" s="424"/>
      <c r="J184" s="424"/>
    </row>
    <row r="185" spans="1:12">
      <c r="B185" s="397"/>
      <c r="C185" s="412"/>
      <c r="D185" s="412"/>
      <c r="E185" s="412"/>
      <c r="F185" s="400"/>
    </row>
    <row r="189" spans="1:12">
      <c r="A189" s="411"/>
      <c r="B189" s="347"/>
      <c r="C189" s="294"/>
      <c r="E189" s="294"/>
    </row>
    <row r="190" spans="1:12">
      <c r="C190" s="294"/>
      <c r="E190" s="294"/>
    </row>
    <row r="191" spans="1:12">
      <c r="C191" s="393"/>
      <c r="D191" s="393"/>
      <c r="E191" s="393"/>
      <c r="F191" s="393"/>
      <c r="G191" s="393"/>
      <c r="H191" s="394"/>
      <c r="I191" s="393"/>
      <c r="J191" s="393"/>
      <c r="K191" s="393"/>
      <c r="L191" s="393"/>
    </row>
    <row r="193" spans="2:12">
      <c r="B193" s="374"/>
      <c r="C193" s="391"/>
      <c r="D193" s="391"/>
      <c r="E193" s="416"/>
      <c r="F193" s="391"/>
      <c r="G193" s="380"/>
      <c r="H193" s="417"/>
      <c r="I193" s="391"/>
      <c r="J193" s="391"/>
      <c r="K193" s="416"/>
      <c r="L193" s="416"/>
    </row>
    <row r="194" spans="2:12" ht="15.25">
      <c r="B194" s="374"/>
      <c r="C194" s="383"/>
      <c r="D194" s="383"/>
      <c r="E194" s="383"/>
      <c r="F194" s="383"/>
      <c r="G194" s="383"/>
      <c r="H194" s="418"/>
      <c r="I194" s="383"/>
      <c r="J194" s="383"/>
      <c r="K194" s="421"/>
      <c r="L194" s="421"/>
    </row>
    <row r="195" spans="2:12">
      <c r="B195" s="374"/>
      <c r="C195" s="382"/>
      <c r="D195" s="382"/>
      <c r="E195" s="382"/>
      <c r="F195" s="382"/>
      <c r="G195" s="382"/>
      <c r="H195" s="419"/>
      <c r="I195" s="382"/>
      <c r="J195" s="382"/>
      <c r="K195" s="382"/>
      <c r="L195" s="382"/>
    </row>
    <row r="196" spans="2:12">
      <c r="B196" s="374"/>
      <c r="C196" s="382"/>
      <c r="D196" s="382"/>
      <c r="E196" s="382"/>
      <c r="F196" s="382"/>
      <c r="G196" s="382"/>
      <c r="H196" s="419"/>
      <c r="I196" s="382"/>
      <c r="J196" s="382"/>
      <c r="K196" s="382"/>
      <c r="L196" s="382"/>
    </row>
    <row r="197" spans="2:12">
      <c r="B197" s="374"/>
      <c r="C197" s="382"/>
      <c r="D197" s="382"/>
      <c r="E197" s="382"/>
      <c r="F197" s="382"/>
      <c r="G197" s="382"/>
      <c r="H197" s="419"/>
      <c r="I197" s="382"/>
      <c r="J197" s="382"/>
      <c r="K197" s="382"/>
      <c r="L197" s="382"/>
    </row>
    <row r="198" spans="2:12" ht="15.25">
      <c r="B198" s="374"/>
      <c r="C198" s="390"/>
      <c r="E198" s="294"/>
    </row>
    <row r="199" spans="2:12">
      <c r="B199" s="374"/>
      <c r="C199" s="382"/>
      <c r="E199" s="294"/>
    </row>
    <row r="200" spans="2:12">
      <c r="B200" s="374"/>
      <c r="C200" s="294"/>
      <c r="E200" s="294"/>
    </row>
    <row r="201" spans="2:12">
      <c r="C201" s="393"/>
      <c r="D201" s="393"/>
      <c r="E201" s="393"/>
      <c r="F201" s="393"/>
      <c r="G201" s="393"/>
      <c r="H201" s="394"/>
      <c r="I201" s="393"/>
      <c r="J201" s="393"/>
      <c r="K201" s="393"/>
      <c r="L201" s="393"/>
    </row>
    <row r="203" spans="2:12">
      <c r="B203" s="374"/>
      <c r="C203" s="382"/>
    </row>
    <row r="204" spans="2:12" ht="15.25">
      <c r="B204" s="374"/>
      <c r="C204" s="390"/>
    </row>
    <row r="205" spans="2:12">
      <c r="B205" s="374"/>
      <c r="C205" s="382"/>
      <c r="D205" s="382"/>
      <c r="G205" s="374"/>
    </row>
    <row r="206" spans="2:12">
      <c r="C206" s="294"/>
      <c r="E206" s="294"/>
      <c r="G206" s="374"/>
    </row>
    <row r="207" spans="2:12">
      <c r="B207" s="404"/>
      <c r="C207" s="382"/>
      <c r="E207" s="425"/>
      <c r="G207" s="425"/>
    </row>
    <row r="208" spans="2:12">
      <c r="B208" s="374"/>
      <c r="C208" s="382"/>
      <c r="E208" s="338"/>
    </row>
    <row r="209" spans="1:10" ht="15.25">
      <c r="B209" s="374"/>
      <c r="C209" s="390"/>
      <c r="E209" s="343"/>
    </row>
    <row r="210" spans="1:10">
      <c r="B210" s="374"/>
      <c r="C210" s="382"/>
      <c r="E210" s="338"/>
    </row>
    <row r="212" spans="1:10">
      <c r="C212" s="426"/>
    </row>
    <row r="213" spans="1:10" outlineLevel="1">
      <c r="A213" s="347"/>
    </row>
    <row r="214" spans="1:10" outlineLevel="1">
      <c r="A214" s="411"/>
      <c r="B214" s="388"/>
      <c r="C214" s="294"/>
      <c r="E214" s="294"/>
    </row>
    <row r="215" spans="1:10" outlineLevel="1">
      <c r="B215" s="312"/>
    </row>
    <row r="216" spans="1:10" outlineLevel="1">
      <c r="A216" s="411"/>
    </row>
    <row r="217" spans="1:10" outlineLevel="1">
      <c r="B217" s="347"/>
    </row>
    <row r="218" spans="1:10" outlineLevel="1">
      <c r="B218" s="312"/>
    </row>
    <row r="219" spans="1:10" outlineLevel="1">
      <c r="B219" s="347"/>
    </row>
    <row r="220" spans="1:10" outlineLevel="1">
      <c r="C220" s="393"/>
      <c r="D220" s="393"/>
      <c r="E220" s="393"/>
      <c r="F220" s="393"/>
      <c r="G220" s="393"/>
      <c r="H220" s="394"/>
      <c r="I220" s="393"/>
      <c r="J220" s="393"/>
    </row>
    <row r="221" spans="1:10" outlineLevel="1">
      <c r="C221" s="411"/>
      <c r="D221" s="411"/>
      <c r="E221" s="411"/>
      <c r="F221" s="412"/>
      <c r="G221" s="412"/>
      <c r="H221" s="413"/>
      <c r="I221" s="412"/>
      <c r="J221" s="412"/>
    </row>
    <row r="222" spans="1:10" outlineLevel="1">
      <c r="B222" s="395"/>
      <c r="C222" s="411"/>
      <c r="D222" s="411"/>
      <c r="E222" s="411"/>
      <c r="F222" s="412"/>
      <c r="G222" s="412"/>
      <c r="H222" s="413"/>
      <c r="I222" s="412"/>
      <c r="J222" s="412"/>
    </row>
    <row r="223" spans="1:10" outlineLevel="1">
      <c r="B223" s="397"/>
      <c r="C223" s="411"/>
      <c r="D223" s="411"/>
      <c r="E223" s="412"/>
    </row>
    <row r="224" spans="1:10" outlineLevel="1">
      <c r="B224" s="397"/>
      <c r="C224" s="411"/>
      <c r="D224" s="411"/>
      <c r="E224" s="412"/>
      <c r="F224" s="411"/>
      <c r="G224" s="411"/>
      <c r="H224" s="414"/>
      <c r="I224" s="411"/>
      <c r="J224" s="411"/>
    </row>
    <row r="225" spans="2:10" outlineLevel="1">
      <c r="B225" s="401"/>
      <c r="C225" s="411"/>
      <c r="D225" s="411"/>
      <c r="E225" s="411"/>
      <c r="F225" s="411"/>
      <c r="G225" s="411"/>
      <c r="H225" s="414"/>
      <c r="I225" s="411"/>
      <c r="J225" s="411"/>
    </row>
    <row r="226" spans="2:10" outlineLevel="1">
      <c r="B226" s="404"/>
      <c r="C226" s="412"/>
      <c r="D226" s="412"/>
      <c r="E226" s="411"/>
      <c r="F226" s="411"/>
      <c r="G226" s="411"/>
      <c r="H226" s="414"/>
      <c r="I226" s="411"/>
      <c r="J226" s="411"/>
    </row>
    <row r="227" spans="2:10" outlineLevel="1">
      <c r="B227" s="404"/>
      <c r="C227" s="412"/>
      <c r="D227" s="412"/>
      <c r="E227" s="411"/>
      <c r="F227" s="411"/>
      <c r="G227" s="411"/>
      <c r="H227" s="414"/>
      <c r="I227" s="411"/>
      <c r="J227" s="411"/>
    </row>
    <row r="228" spans="2:10" outlineLevel="1">
      <c r="C228" s="412"/>
      <c r="D228" s="412"/>
      <c r="E228" s="411"/>
      <c r="F228" s="411"/>
      <c r="G228" s="411"/>
      <c r="H228" s="414"/>
      <c r="I228" s="411"/>
      <c r="J228" s="411"/>
    </row>
    <row r="229" spans="2:10" outlineLevel="1">
      <c r="B229" s="395"/>
      <c r="C229" s="412"/>
      <c r="D229" s="412"/>
      <c r="E229" s="411"/>
      <c r="F229" s="412"/>
      <c r="G229" s="412"/>
      <c r="H229" s="413"/>
      <c r="I229" s="412"/>
      <c r="J229" s="412"/>
    </row>
    <row r="230" spans="2:10" outlineLevel="1">
      <c r="B230" s="397"/>
      <c r="C230" s="411"/>
      <c r="D230" s="411"/>
      <c r="E230" s="412"/>
      <c r="F230" s="411"/>
      <c r="G230" s="411"/>
      <c r="H230" s="414"/>
      <c r="I230" s="411"/>
      <c r="J230" s="411"/>
    </row>
    <row r="231" spans="2:10" outlineLevel="1">
      <c r="B231" s="397"/>
      <c r="C231" s="411"/>
      <c r="D231" s="411"/>
      <c r="E231" s="412"/>
      <c r="F231" s="411"/>
      <c r="G231" s="411"/>
      <c r="H231" s="414"/>
      <c r="I231" s="411"/>
      <c r="J231" s="411"/>
    </row>
    <row r="232" spans="2:10" outlineLevel="1">
      <c r="C232" s="411"/>
      <c r="D232" s="411"/>
      <c r="E232" s="412"/>
      <c r="F232" s="411"/>
      <c r="G232" s="411"/>
      <c r="H232" s="414"/>
      <c r="I232" s="411"/>
      <c r="J232" s="411"/>
    </row>
    <row r="233" spans="2:10" outlineLevel="1"/>
    <row r="234" spans="2:10" outlineLevel="1"/>
    <row r="235" spans="2:10" outlineLevel="1">
      <c r="B235" s="347"/>
    </row>
    <row r="236" spans="2:10" outlineLevel="1">
      <c r="B236" s="312"/>
    </row>
    <row r="237" spans="2:10" outlineLevel="1"/>
    <row r="238" spans="2:10" outlineLevel="1">
      <c r="C238" s="393"/>
      <c r="D238" s="393"/>
      <c r="E238" s="393"/>
      <c r="F238" s="393"/>
      <c r="H238" s="405"/>
      <c r="I238" s="393"/>
      <c r="J238" s="393"/>
    </row>
    <row r="239" spans="2:10" outlineLevel="1">
      <c r="F239" s="406"/>
    </row>
    <row r="240" spans="2:10" outlineLevel="1">
      <c r="B240" s="395"/>
      <c r="C240" s="412"/>
      <c r="D240" s="412"/>
      <c r="E240" s="412"/>
      <c r="F240" s="407"/>
      <c r="H240" s="408"/>
    </row>
    <row r="241" spans="1:12" outlineLevel="1">
      <c r="B241" s="397"/>
      <c r="C241" s="412"/>
      <c r="D241" s="412"/>
      <c r="E241" s="412"/>
      <c r="F241" s="400"/>
      <c r="H241" s="409"/>
      <c r="I241" s="424"/>
      <c r="J241" s="424"/>
    </row>
    <row r="242" spans="1:12" outlineLevel="1">
      <c r="B242" s="397"/>
      <c r="C242" s="412"/>
      <c r="D242" s="412"/>
      <c r="E242" s="412"/>
      <c r="F242" s="400"/>
      <c r="H242" s="409"/>
      <c r="I242" s="424"/>
      <c r="J242" s="424"/>
    </row>
    <row r="243" spans="1:12" outlineLevel="1">
      <c r="C243" s="412"/>
      <c r="D243" s="412"/>
      <c r="E243" s="412"/>
      <c r="F243" s="400"/>
      <c r="H243" s="409"/>
      <c r="I243" s="410"/>
      <c r="J243" s="410"/>
    </row>
    <row r="244" spans="1:12" outlineLevel="1">
      <c r="B244" s="395"/>
      <c r="C244" s="412"/>
      <c r="D244" s="412"/>
      <c r="E244" s="412"/>
      <c r="F244" s="400"/>
      <c r="H244" s="408"/>
      <c r="I244" s="385"/>
      <c r="J244" s="385"/>
    </row>
    <row r="245" spans="1:12" outlineLevel="1">
      <c r="B245" s="397"/>
      <c r="C245" s="412"/>
      <c r="D245" s="412"/>
      <c r="E245" s="412"/>
      <c r="F245" s="400"/>
      <c r="H245" s="409"/>
      <c r="I245" s="424"/>
      <c r="J245" s="424"/>
    </row>
    <row r="246" spans="1:12" outlineLevel="1">
      <c r="B246" s="397"/>
      <c r="C246" s="412"/>
      <c r="D246" s="412"/>
      <c r="E246" s="412"/>
      <c r="F246" s="400"/>
    </row>
    <row r="247" spans="1:12" outlineLevel="1"/>
    <row r="248" spans="1:12" outlineLevel="1"/>
    <row r="249" spans="1:12" outlineLevel="1"/>
    <row r="250" spans="1:12" outlineLevel="1"/>
    <row r="251" spans="1:12" outlineLevel="1">
      <c r="A251" s="411"/>
      <c r="B251" s="347"/>
      <c r="C251" s="294"/>
      <c r="E251" s="294"/>
    </row>
    <row r="252" spans="1:12" outlineLevel="1">
      <c r="C252" s="294"/>
      <c r="E252" s="294"/>
    </row>
    <row r="253" spans="1:12" outlineLevel="1">
      <c r="C253" s="393"/>
      <c r="D253" s="393"/>
      <c r="E253" s="393"/>
      <c r="F253" s="393"/>
      <c r="G253" s="393"/>
      <c r="H253" s="394"/>
      <c r="I253" s="393"/>
      <c r="J253" s="393"/>
      <c r="K253" s="393"/>
      <c r="L253" s="393"/>
    </row>
    <row r="254" spans="1:12" outlineLevel="1"/>
    <row r="255" spans="1:12" outlineLevel="1">
      <c r="B255" s="374"/>
      <c r="C255" s="391"/>
      <c r="D255" s="391"/>
      <c r="E255" s="416"/>
      <c r="F255" s="391"/>
      <c r="G255" s="380"/>
      <c r="H255" s="417"/>
      <c r="I255" s="391"/>
      <c r="J255" s="391"/>
      <c r="K255" s="416"/>
      <c r="L255" s="416"/>
    </row>
    <row r="256" spans="1:12" ht="15.25" outlineLevel="1">
      <c r="B256" s="374"/>
      <c r="C256" s="383"/>
      <c r="D256" s="383"/>
      <c r="E256" s="383"/>
      <c r="F256" s="427"/>
      <c r="G256" s="427"/>
      <c r="H256" s="418"/>
      <c r="I256" s="427"/>
      <c r="J256" s="427"/>
      <c r="K256" s="421"/>
      <c r="L256" s="421"/>
    </row>
    <row r="257" spans="2:12" outlineLevel="1">
      <c r="B257" s="374"/>
      <c r="C257" s="382"/>
      <c r="D257" s="382"/>
      <c r="E257" s="382"/>
      <c r="F257" s="382"/>
      <c r="G257" s="382"/>
      <c r="H257" s="419"/>
      <c r="I257" s="382"/>
      <c r="J257" s="382"/>
      <c r="K257" s="382"/>
      <c r="L257" s="382"/>
    </row>
    <row r="258" spans="2:12" outlineLevel="1">
      <c r="B258" s="374"/>
      <c r="C258" s="382"/>
      <c r="D258" s="382"/>
      <c r="E258" s="382"/>
      <c r="F258" s="382"/>
      <c r="G258" s="382"/>
      <c r="H258" s="419"/>
      <c r="I258" s="382"/>
      <c r="J258" s="382"/>
      <c r="K258" s="382"/>
      <c r="L258" s="382"/>
    </row>
    <row r="259" spans="2:12" outlineLevel="1">
      <c r="B259" s="374"/>
      <c r="C259" s="382"/>
      <c r="D259" s="382"/>
      <c r="E259" s="382"/>
      <c r="F259" s="382"/>
      <c r="G259" s="382"/>
      <c r="H259" s="419"/>
      <c r="I259" s="382"/>
      <c r="J259" s="382"/>
      <c r="K259" s="382"/>
      <c r="L259" s="382"/>
    </row>
    <row r="260" spans="2:12" ht="15.25" outlineLevel="1">
      <c r="B260" s="374"/>
      <c r="C260" s="390"/>
      <c r="E260" s="294"/>
    </row>
    <row r="261" spans="2:12" outlineLevel="1">
      <c r="B261" s="374"/>
      <c r="C261" s="382"/>
      <c r="E261" s="294"/>
    </row>
    <row r="262" spans="2:12" outlineLevel="1">
      <c r="B262" s="374"/>
      <c r="C262" s="294"/>
      <c r="E262" s="294"/>
    </row>
    <row r="263" spans="2:12" outlineLevel="1">
      <c r="C263" s="393"/>
      <c r="D263" s="393"/>
      <c r="E263" s="393"/>
      <c r="F263" s="393"/>
      <c r="G263" s="393"/>
      <c r="H263" s="394"/>
      <c r="I263" s="393"/>
      <c r="J263" s="393"/>
      <c r="K263" s="393"/>
      <c r="L263" s="393"/>
    </row>
    <row r="264" spans="2:12" outlineLevel="1"/>
    <row r="265" spans="2:12" outlineLevel="1">
      <c r="C265" s="346"/>
      <c r="D265" s="346"/>
      <c r="E265" s="346"/>
    </row>
    <row r="266" spans="2:12" outlineLevel="1">
      <c r="B266" s="374"/>
      <c r="C266" s="382"/>
      <c r="D266" s="426"/>
      <c r="E266" s="382"/>
    </row>
    <row r="267" spans="2:12" outlineLevel="1">
      <c r="B267" s="374"/>
      <c r="C267" s="428"/>
      <c r="D267" s="429"/>
      <c r="E267" s="428"/>
    </row>
    <row r="268" spans="2:12" outlineLevel="1">
      <c r="B268" s="374"/>
      <c r="C268" s="382"/>
      <c r="D268" s="382"/>
      <c r="E268" s="382"/>
      <c r="G268" s="374"/>
    </row>
    <row r="269" spans="2:12" outlineLevel="1">
      <c r="C269" s="294"/>
      <c r="E269" s="294"/>
      <c r="G269" s="374"/>
    </row>
    <row r="270" spans="2:12" outlineLevel="1">
      <c r="B270" s="404"/>
      <c r="C270" s="382"/>
      <c r="E270" s="425"/>
      <c r="G270" s="425"/>
    </row>
    <row r="271" spans="2:12" outlineLevel="1">
      <c r="B271" s="374"/>
      <c r="C271" s="382"/>
      <c r="E271" s="338"/>
    </row>
    <row r="272" spans="2:12" outlineLevel="1">
      <c r="B272" s="374"/>
      <c r="C272" s="428"/>
      <c r="E272" s="343"/>
    </row>
    <row r="273" spans="2:5" outlineLevel="1">
      <c r="B273" s="374"/>
      <c r="C273" s="382"/>
      <c r="E273" s="338"/>
    </row>
    <row r="274" spans="2:5" outlineLevel="1"/>
  </sheetData>
  <mergeCells count="1">
    <mergeCell ref="D2:H3"/>
  </mergeCells>
  <pageMargins left="0.75" right="0.75" top="1" bottom="1" header="0.5" footer="0.5"/>
  <pageSetup scale="78" orientation="landscape" r:id="rId1"/>
  <headerFooter alignWithMargins="0">
    <oddHeader>&amp;C&amp;"Arial,Bold"Public Service Electric and Gas Company Specific Addendum
Attachment 4 P5</oddHeader>
  </headerFooter>
  <rowBreaks count="7" manualBreakCount="7">
    <brk id="33" max="6" man="1"/>
    <brk id="79" max="9" man="1"/>
    <brk id="115" max="9" man="1"/>
    <brk id="151" max="9" man="1"/>
    <brk id="187" max="9" man="1"/>
    <brk id="212" max="11" man="1"/>
    <brk id="250" max="11" man="1"/>
  </rowBreaks>
</worksheet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Inputs</vt:lpstr>
      <vt:lpstr>Attach2 - BidFactors</vt:lpstr>
      <vt:lpstr>Attach3 - AuctionRateResult</vt:lpstr>
      <vt:lpstr>Attach 4 P1</vt:lpstr>
      <vt:lpstr>Attach 4 P2</vt:lpstr>
      <vt:lpstr>Attach 4 P3</vt:lpstr>
      <vt:lpstr>Attach 4 P4 </vt:lpstr>
      <vt:lpstr>Attach 4 P5</vt:lpstr>
      <vt:lpstr>'Attach 4 P1'!Print_Area</vt:lpstr>
      <vt:lpstr>'Attach 4 P2'!Print_Area</vt:lpstr>
      <vt:lpstr>'Attach 4 P3'!Print_Area</vt:lpstr>
      <vt:lpstr>'Attach 4 P4 '!Print_Area</vt:lpstr>
      <vt:lpstr>'Attach 4 P5'!Print_Area</vt:lpstr>
      <vt:lpstr>'Attach2 - BidFactors'!Print_Area</vt:lpstr>
      <vt:lpstr>'Attach3 - AuctionRateResult'!Print_Area</vt:lpstr>
      <vt:lpstr>'Attach 4 P4 '!Print_Titles</vt:lpstr>
      <vt:lpstr>'Attach 4 P5'!Print_Titles</vt:lpstr>
      <vt:lpstr>'Attach3 - AuctionRateResult'!Print_Titles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Carruthers, Jennifer L.</dc:creator>
  <cp:lastModifiedBy>Morrison, Kate</cp:lastModifiedBy>
  <cp:lastPrinted>2025-06-25T19:02:56Z</cp:lastPrinted>
  <dcterms:created xsi:type="dcterms:W3CDTF">2025-06-24T17:32:02Z</dcterms:created>
  <dcterms:modified xsi:type="dcterms:W3CDTF">2025-12-05T15:46:25Z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9e942115-592e-426b-821a-122282369e66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2025-12-01T03:50:07Z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43744402-2d2b-4073-816e-0a5a9f20aa41</vt:lpwstr>
  </property>
  <property fmtid="{D5CDD505-2E9C-101B-9397-08002B2CF9AE}" pid="9" name="MSIP_Label_38f1469a-2c2a-4aee-b92b-090d4c5468ff_ContentBits">
    <vt:lpwstr>0</vt:lpwstr>
  </property>
  <property fmtid="{D5CDD505-2E9C-101B-9397-08002B2CF9AE}" pid="10" name="MSIP_Label_38f1469a-2c2a-4aee-b92b-090d4c5468ff_Tag">
    <vt:lpwstr>10, 3, 0, 1</vt:lpwstr>
  </property>
</Properties>
</file>